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Stavební rozpočet" sheetId="1" r:id="rId1"/>
    <sheet name="Stavební rozpočet - součet" sheetId="2" r:id="rId2"/>
    <sheet name="Výkaz výměr" sheetId="3" r:id="rId3"/>
  </sheets>
  <definedNames/>
  <calcPr fullCalcOnLoad="1"/>
</workbook>
</file>

<file path=xl/sharedStrings.xml><?xml version="1.0" encoding="utf-8"?>
<sst xmlns="http://schemas.openxmlformats.org/spreadsheetml/2006/main" count="223" uniqueCount="135">
  <si>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</si>
  <si>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</si>
  <si>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</si>
  <si>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</si>
  <si>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</si>
  <si>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</si>
  <si>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</si>
  <si>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</si>
  <si>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</si>
  <si>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</si>
  <si>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</si>
  <si>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</si>
  <si>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</si>
  <si>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</si>
  <si>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</si>
  <si>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</si>
  <si>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</si>
  <si>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</si>
  <si>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</si>
  <si>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</si>
  <si>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</si>
  <si>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</si>
  <si>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</si>
  <si>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</si>
  <si>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</si>
  <si>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</si>
  <si>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</si>
  <si>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</si>
  <si>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</si>
  <si>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</si>
  <si>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</si>
  <si>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</si>
  <si>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Objekt</t>
  </si>
  <si>
    <t>Kód</t>
  </si>
  <si>
    <t>722</t>
  </si>
  <si>
    <t>722130801R00</t>
  </si>
  <si>
    <t>722130802R00</t>
  </si>
  <si>
    <t>722130803R00</t>
  </si>
  <si>
    <t>722131932R00</t>
  </si>
  <si>
    <t>722131935R00</t>
  </si>
  <si>
    <t>722170914R00</t>
  </si>
  <si>
    <t>722172314R00</t>
  </si>
  <si>
    <t>722172313R00</t>
  </si>
  <si>
    <t>722172312R00</t>
  </si>
  <si>
    <t>722172334R00</t>
  </si>
  <si>
    <t>722172333R00</t>
  </si>
  <si>
    <t>722172332R00</t>
  </si>
  <si>
    <t>722249105R00</t>
  </si>
  <si>
    <t>722132116R00</t>
  </si>
  <si>
    <t>722225112R00</t>
  </si>
  <si>
    <t>722225116R00</t>
  </si>
  <si>
    <t>722181134R00</t>
  </si>
  <si>
    <t>722181131R00</t>
  </si>
  <si>
    <t>722181139R00</t>
  </si>
  <si>
    <t>722290226R00</t>
  </si>
  <si>
    <t>722290821R00</t>
  </si>
  <si>
    <t>90</t>
  </si>
  <si>
    <t>900      R01</t>
  </si>
  <si>
    <t>97</t>
  </si>
  <si>
    <t>971035531R00</t>
  </si>
  <si>
    <t>971035541R00</t>
  </si>
  <si>
    <t>971042241R00</t>
  </si>
  <si>
    <t>Skolka - páteřní rozvod</t>
  </si>
  <si>
    <t>Zkrácený popis</t>
  </si>
  <si>
    <t>Vnitřní vodovod</t>
  </si>
  <si>
    <t>Demontáž potrubí oc.+ plast. DN 25</t>
  </si>
  <si>
    <t>Demontáž potrubí oc+plast. DN 40</t>
  </si>
  <si>
    <t>Demontáž potrubí ocelových závitových DN 50</t>
  </si>
  <si>
    <t>Oprava-propojení dosavadního potrubí závit. DN 20</t>
  </si>
  <si>
    <t>Oprava-propojení dosavadního potrubí závit. DN 40</t>
  </si>
  <si>
    <t>Oprava potrubí z PE trubek,vsazení odbočky DN 63</t>
  </si>
  <si>
    <t>Potrubí z PPR Instaplast, studená, D 40/5,5 mm</t>
  </si>
  <si>
    <t>Potrubí z PPR Instaplast, studená, D 32/4,4 mm</t>
  </si>
  <si>
    <t>Potrubí z PPR Instaplast, studená, D 25/3,5 mm</t>
  </si>
  <si>
    <t>Potrubí z PPR Instaplast, teplá, D 40/6,7 mm</t>
  </si>
  <si>
    <t>Potrubí z PPR Instaplast, teplá, D 32/5,4 mm</t>
  </si>
  <si>
    <t>Potrubí z PPR Instaplast, teplá, D 25/4,2 mm</t>
  </si>
  <si>
    <t>Montáž armatury požární - hydrant  G 2</t>
  </si>
  <si>
    <t>Potrubí ocel vně/vni pozink. Mapress d 38x2,6 mm</t>
  </si>
  <si>
    <t>Ventil  uzavírací PP-R20</t>
  </si>
  <si>
    <t>Ventil uzavírací PP-R40</t>
  </si>
  <si>
    <t>Izolace potrt. Mirelon tl.20mm doDN 50</t>
  </si>
  <si>
    <t>Ochrana potrubí PZ profil plech</t>
  </si>
  <si>
    <t>Kotvící třmen potrubí Corfix</t>
  </si>
  <si>
    <t>Zkouška tlaku potrubí závitového DN 50</t>
  </si>
  <si>
    <t>Přesun  hmot - vodovody, H do 6 m</t>
  </si>
  <si>
    <t>Hodinové zúčtovací sazby (HZS)</t>
  </si>
  <si>
    <t>zazdění a začištění vyb.otvorů</t>
  </si>
  <si>
    <t>Prorážení otvorů a ostatní bourací práce</t>
  </si>
  <si>
    <t>Vybourání otv. zeď cihel. pl. 1 m2, tl. 15 cm, MC</t>
  </si>
  <si>
    <t>Vybourání otv. zeď cihel. pl. 1 m2, tl. 30 cm, MC</t>
  </si>
  <si>
    <t>Doba výstavby:</t>
  </si>
  <si>
    <t>Začátek výstavby:</t>
  </si>
  <si>
    <t>Konec výstavby:</t>
  </si>
  <si>
    <t>Zpracováno dne:</t>
  </si>
  <si>
    <t>M.j.</t>
  </si>
  <si>
    <t>m</t>
  </si>
  <si>
    <t>kus</t>
  </si>
  <si>
    <t>t</t>
  </si>
  <si>
    <t>hod</t>
  </si>
  <si>
    <t>m2</t>
  </si>
  <si>
    <t>m3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</si>
  <si>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</si>
  <si>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</si>
  <si>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</si>
  <si>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</si>
  <si>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</si>
  <si>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</si>
  <si>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</si>
  <si>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</si>
  <si>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</si>
  <si>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</si>
  <si>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</si>
  <si>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</si>
  <si>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</si>
  <si>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Přesuny</t>
  </si>
  <si>
    <t>Typ skupiny</t>
  </si>
  <si>
    <t>PS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</si>
  <si>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</si>
  <si>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</si>
  <si>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</si>
  <si>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</si>
  <si>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</si>
  <si>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</si>
  <si>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</si>
  <si>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</si>
  <si>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</si>
  <si>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</si>
  <si>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</si>
  <si>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</si>
  <si>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</si>
  <si>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</si>
  <si>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</si>
  <si>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Rozměry</t>
  </si>
  <si>
    <t>Vybourání otvorů strop 0,0225 m2, tl. 30 cm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</si>
</sst>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2.8515625" style="0" customWidth="1"/>
    <col min="2" max="2" width="3.7109375" style="0" hidden="1" customWidth="1"/>
    <col min="3" max="3" width="13.28125" style="0" customWidth="1"/>
    <col min="4" max="4" width="39.8515625" style="0" customWidth="1"/>
    <col min="5" max="5" width="4.28125" style="0" customWidth="1"/>
    <col min="6" max="6" width="8.28125" style="0" customWidth="1"/>
    <col min="7" max="8" width="9.421875" style="0" customWidth="1"/>
    <col min="9" max="9" width="10.28125" style="0" customWidth="1"/>
    <col min="10" max="10" width="10.140625" style="0" customWidth="1"/>
    <col min="11" max="11" width="6.421875" style="0" customWidth="1"/>
    <col min="12" max="12" width="5.7109375" style="0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2.75">
      <c r="A2" s="43" t="s">
        <v>1</v>
      </c>
      <c r="B2" s="44"/>
      <c r="C2" s="44"/>
      <c r="D2" s="52" t="s">
        <v>62</v>
      </c>
      <c r="E2" s="48" t="s">
        <v>91</v>
      </c>
      <c r="F2" s="44"/>
      <c r="G2" s="48"/>
      <c r="H2" s="44"/>
      <c r="I2" s="48" t="s">
        <v>108</v>
      </c>
      <c r="J2" s="48"/>
      <c r="K2" s="44"/>
      <c r="L2" s="55"/>
      <c r="M2" s="23"/>
    </row>
    <row r="3" spans="1:13" ht="12.75">
      <c r="A3" s="45"/>
      <c r="B3" s="46"/>
      <c r="C3" s="46"/>
      <c r="D3" s="53"/>
      <c r="E3" s="46"/>
      <c r="F3" s="46"/>
      <c r="G3" s="46"/>
      <c r="H3" s="46"/>
      <c r="I3" s="46"/>
      <c r="J3" s="46"/>
      <c r="K3" s="46"/>
      <c r="L3" s="56"/>
      <c r="M3" s="23"/>
    </row>
    <row r="4" spans="1:13" ht="12.75">
      <c r="A4" s="47" t="s">
        <v>2</v>
      </c>
      <c r="B4" s="46"/>
      <c r="C4" s="46"/>
      <c r="D4" s="49"/>
      <c r="E4" s="49" t="s">
        <v>92</v>
      </c>
      <c r="F4" s="46"/>
      <c r="G4" s="54">
        <v>41731</v>
      </c>
      <c r="H4" s="46"/>
      <c r="I4" s="49" t="s">
        <v>109</v>
      </c>
      <c r="J4" s="49"/>
      <c r="K4" s="46"/>
      <c r="L4" s="56"/>
      <c r="M4" s="23"/>
    </row>
    <row r="5" spans="1:13" ht="12.7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56"/>
      <c r="M5" s="23"/>
    </row>
    <row r="6" spans="1:13" ht="12.75">
      <c r="A6" s="47" t="s">
        <v>3</v>
      </c>
      <c r="B6" s="46"/>
      <c r="C6" s="46"/>
      <c r="D6" s="49"/>
      <c r="E6" s="49" t="s">
        <v>93</v>
      </c>
      <c r="F6" s="46"/>
      <c r="G6" s="46"/>
      <c r="H6" s="46"/>
      <c r="I6" s="49" t="s">
        <v>110</v>
      </c>
      <c r="J6" s="49"/>
      <c r="K6" s="46"/>
      <c r="L6" s="56"/>
      <c r="M6" s="23"/>
    </row>
    <row r="7" spans="1:13" ht="12.7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6"/>
      <c r="M7" s="23"/>
    </row>
    <row r="8" spans="1:13" ht="12.75">
      <c r="A8" s="47" t="s">
        <v>4</v>
      </c>
      <c r="B8" s="46"/>
      <c r="C8" s="46"/>
      <c r="D8" s="49"/>
      <c r="E8" s="49" t="s">
        <v>94</v>
      </c>
      <c r="F8" s="46"/>
      <c r="G8" s="54">
        <v>41731</v>
      </c>
      <c r="H8" s="46"/>
      <c r="I8" s="49" t="s">
        <v>111</v>
      </c>
      <c r="J8" s="49"/>
      <c r="K8" s="46"/>
      <c r="L8" s="56"/>
      <c r="M8" s="23"/>
    </row>
    <row r="9" spans="1:13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7"/>
      <c r="M9" s="23"/>
    </row>
    <row r="10" spans="1:13" ht="12.75">
      <c r="A10" s="2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16" t="s">
        <v>103</v>
      </c>
      <c r="H10" s="61" t="s">
        <v>105</v>
      </c>
      <c r="I10" s="62"/>
      <c r="J10" s="63"/>
      <c r="K10" s="61" t="s">
        <v>114</v>
      </c>
      <c r="L10" s="63"/>
      <c r="M10" s="24"/>
    </row>
    <row r="11" spans="1:24" ht="12.75">
      <c r="A11" s="3" t="s">
        <v>6</v>
      </c>
      <c r="B11" s="10" t="s">
        <v>32</v>
      </c>
      <c r="C11" s="10" t="s">
        <v>33</v>
      </c>
      <c r="D11" s="10" t="s">
        <v>63</v>
      </c>
      <c r="E11" s="10" t="s">
        <v>95</v>
      </c>
      <c r="F11" s="13" t="s">
        <v>102</v>
      </c>
      <c r="G11" s="17" t="s">
        <v>104</v>
      </c>
      <c r="H11" s="18" t="s">
        <v>106</v>
      </c>
      <c r="I11" s="19" t="s">
        <v>112</v>
      </c>
      <c r="J11" s="20" t="s">
        <v>113</v>
      </c>
      <c r="K11" s="18" t="s">
        <v>103</v>
      </c>
      <c r="L11" s="20" t="s">
        <v>113</v>
      </c>
      <c r="M11" s="24"/>
      <c r="P11" s="22" t="s">
        <v>115</v>
      </c>
      <c r="Q11" s="22" t="s">
        <v>116</v>
      </c>
      <c r="R11" s="22" t="s">
        <v>119</v>
      </c>
      <c r="S11" s="22" t="s">
        <v>120</v>
      </c>
      <c r="T11" s="22" t="s">
        <v>121</v>
      </c>
      <c r="U11" s="22" t="s">
        <v>122</v>
      </c>
      <c r="V11" s="22" t="s">
        <v>123</v>
      </c>
      <c r="W11" s="22" t="s">
        <v>124</v>
      </c>
      <c r="X11" s="22" t="s">
        <v>125</v>
      </c>
    </row>
    <row r="12" spans="1:37" ht="12.75">
      <c r="A12" s="4"/>
      <c r="B12" s="4"/>
      <c r="C12" s="11" t="s">
        <v>34</v>
      </c>
      <c r="D12" s="64" t="s">
        <v>64</v>
      </c>
      <c r="E12" s="65"/>
      <c r="F12" s="65"/>
      <c r="G12" s="65"/>
      <c r="H12" s="26">
        <f>SUM(H13:H33)</f>
        <v>0</v>
      </c>
      <c r="I12" s="26">
        <f>SUM(I13:I33)</f>
        <v>0</v>
      </c>
      <c r="J12" s="26">
        <f>H12+I12</f>
        <v>0</v>
      </c>
      <c r="K12" s="21"/>
      <c r="L12" s="26">
        <f>SUM(L13:L33)</f>
        <v>2.60242</v>
      </c>
      <c r="P12" s="27">
        <f>IF(Q12="PR",J12,SUM(O13:O33))</f>
        <v>0</v>
      </c>
      <c r="Q12" s="22" t="s">
        <v>117</v>
      </c>
      <c r="R12" s="27">
        <f>IF(Q12="HS",H12,0)</f>
        <v>0</v>
      </c>
      <c r="S12" s="27">
        <f>IF(Q12="HS",I12-P12,0)</f>
        <v>0</v>
      </c>
      <c r="T12" s="27">
        <f>IF(Q12="PS",H12,0)</f>
        <v>0</v>
      </c>
      <c r="U12" s="27">
        <f>IF(Q12="PS",I12-P12,0)</f>
        <v>0</v>
      </c>
      <c r="V12" s="27">
        <f>IF(Q12="MP",H12,0)</f>
        <v>0</v>
      </c>
      <c r="W12" s="27">
        <f>IF(Q12="MP",I12-P12,0)</f>
        <v>0</v>
      </c>
      <c r="X12" s="27">
        <f>IF(Q12="OM",H12,0)</f>
        <v>0</v>
      </c>
      <c r="Y12" s="22"/>
      <c r="AI12" s="27">
        <f>SUM(Z13:Z33)</f>
        <v>0</v>
      </c>
      <c r="AJ12" s="27">
        <f>SUM(AA13:AA33)</f>
        <v>0</v>
      </c>
      <c r="AK12" s="27">
        <f>SUM(AB13:AB33)</f>
        <v>0</v>
      </c>
    </row>
    <row r="13" spans="1:32" ht="12.75">
      <c r="A13" s="5" t="s">
        <v>7</v>
      </c>
      <c r="B13" s="5"/>
      <c r="C13" s="5" t="s">
        <v>35</v>
      </c>
      <c r="D13" s="5" t="s">
        <v>65</v>
      </c>
      <c r="E13" s="5" t="s">
        <v>96</v>
      </c>
      <c r="F13" s="14">
        <v>52</v>
      </c>
      <c r="G13" s="14"/>
      <c r="H13" s="14">
        <f aca="true" t="shared" si="0" ref="H13:H33">ROUND(F13*AE13,2)</f>
        <v>0</v>
      </c>
      <c r="I13" s="14">
        <f aca="true" t="shared" si="1" ref="I13:I33">J13-H13</f>
        <v>0</v>
      </c>
      <c r="J13" s="14">
        <f aca="true" t="shared" si="2" ref="J13:J33">ROUND(F13*G13,2)</f>
        <v>0</v>
      </c>
      <c r="K13" s="14">
        <v>0.00213</v>
      </c>
      <c r="L13" s="14">
        <f aca="true" t="shared" si="3" ref="L13:L33">F13*K13</f>
        <v>0.11076</v>
      </c>
      <c r="N13" s="25" t="s">
        <v>7</v>
      </c>
      <c r="O13" s="14">
        <f aca="true" t="shared" si="4" ref="O13:O33">IF(N13="5",I13,0)</f>
        <v>0</v>
      </c>
      <c r="Z13" s="14">
        <f aca="true" t="shared" si="5" ref="Z13:Z33">IF(AD13=0,J13,0)</f>
        <v>0</v>
      </c>
      <c r="AA13" s="14">
        <f aca="true" t="shared" si="6" ref="AA13:AA33">IF(AD13=10,J13,0)</f>
        <v>0</v>
      </c>
      <c r="AB13" s="14">
        <f aca="true" t="shared" si="7" ref="AB13:AB33">IF(AD13=20,J13,0)</f>
        <v>0</v>
      </c>
      <c r="AD13" s="14">
        <v>10</v>
      </c>
      <c r="AE13" s="14">
        <f>G13*0</f>
        <v>0</v>
      </c>
      <c r="AF13" s="14">
        <f>G13*(1-0)</f>
        <v>0</v>
      </c>
    </row>
    <row r="14" spans="1:32" ht="12.75">
      <c r="A14" s="5" t="s">
        <v>8</v>
      </c>
      <c r="B14" s="5"/>
      <c r="C14" s="5" t="s">
        <v>36</v>
      </c>
      <c r="D14" s="5" t="s">
        <v>66</v>
      </c>
      <c r="E14" s="5" t="s">
        <v>96</v>
      </c>
      <c r="F14" s="14">
        <v>112</v>
      </c>
      <c r="G14" s="14"/>
      <c r="H14" s="14">
        <f t="shared" si="0"/>
        <v>0</v>
      </c>
      <c r="I14" s="14">
        <f t="shared" si="1"/>
        <v>0</v>
      </c>
      <c r="J14" s="14">
        <f t="shared" si="2"/>
        <v>0</v>
      </c>
      <c r="K14" s="14">
        <v>0.00497</v>
      </c>
      <c r="L14" s="14">
        <f t="shared" si="3"/>
        <v>0.5566399999999999</v>
      </c>
      <c r="N14" s="25" t="s">
        <v>7</v>
      </c>
      <c r="O14" s="14">
        <f t="shared" si="4"/>
        <v>0</v>
      </c>
      <c r="Z14" s="14">
        <f t="shared" si="5"/>
        <v>0</v>
      </c>
      <c r="AA14" s="14">
        <f t="shared" si="6"/>
        <v>0</v>
      </c>
      <c r="AB14" s="14">
        <f t="shared" si="7"/>
        <v>0</v>
      </c>
      <c r="AD14" s="14">
        <v>10</v>
      </c>
      <c r="AE14" s="14">
        <f>G14*0</f>
        <v>0</v>
      </c>
      <c r="AF14" s="14">
        <f>G14*(1-0)</f>
        <v>0</v>
      </c>
    </row>
    <row r="15" spans="1:32" ht="12.75">
      <c r="A15" s="5" t="s">
        <v>9</v>
      </c>
      <c r="B15" s="5"/>
      <c r="C15" s="5" t="s">
        <v>37</v>
      </c>
      <c r="D15" s="5" t="s">
        <v>67</v>
      </c>
      <c r="E15" s="5" t="s">
        <v>96</v>
      </c>
      <c r="F15" s="14">
        <v>55</v>
      </c>
      <c r="G15" s="14"/>
      <c r="H15" s="14">
        <f t="shared" si="0"/>
        <v>0</v>
      </c>
      <c r="I15" s="14">
        <f t="shared" si="1"/>
        <v>0</v>
      </c>
      <c r="J15" s="14">
        <f t="shared" si="2"/>
        <v>0</v>
      </c>
      <c r="K15" s="14">
        <v>0.0067</v>
      </c>
      <c r="L15" s="14">
        <f t="shared" si="3"/>
        <v>0.3685</v>
      </c>
      <c r="N15" s="25" t="s">
        <v>7</v>
      </c>
      <c r="O15" s="14">
        <f t="shared" si="4"/>
        <v>0</v>
      </c>
      <c r="Z15" s="14">
        <f t="shared" si="5"/>
        <v>0</v>
      </c>
      <c r="AA15" s="14">
        <f t="shared" si="6"/>
        <v>0</v>
      </c>
      <c r="AB15" s="14">
        <f t="shared" si="7"/>
        <v>0</v>
      </c>
      <c r="AD15" s="14">
        <v>10</v>
      </c>
      <c r="AE15" s="14">
        <f>G15*0</f>
        <v>0</v>
      </c>
      <c r="AF15" s="14">
        <f>G15*(1-0)</f>
        <v>0</v>
      </c>
    </row>
    <row r="16" spans="1:32" ht="12.75">
      <c r="A16" s="5" t="s">
        <v>10</v>
      </c>
      <c r="B16" s="5"/>
      <c r="C16" s="5" t="s">
        <v>38</v>
      </c>
      <c r="D16" s="5" t="s">
        <v>68</v>
      </c>
      <c r="E16" s="5" t="s">
        <v>97</v>
      </c>
      <c r="F16" s="14">
        <v>26</v>
      </c>
      <c r="G16" s="14"/>
      <c r="H16" s="14">
        <f t="shared" si="0"/>
        <v>0</v>
      </c>
      <c r="I16" s="14">
        <f t="shared" si="1"/>
        <v>0</v>
      </c>
      <c r="J16" s="14">
        <f t="shared" si="2"/>
        <v>0</v>
      </c>
      <c r="K16" s="14">
        <v>0.00084</v>
      </c>
      <c r="L16" s="14">
        <f t="shared" si="3"/>
        <v>0.021840000000000002</v>
      </c>
      <c r="N16" s="25" t="s">
        <v>7</v>
      </c>
      <c r="O16" s="14">
        <f t="shared" si="4"/>
        <v>0</v>
      </c>
      <c r="Z16" s="14">
        <f t="shared" si="5"/>
        <v>0</v>
      </c>
      <c r="AA16" s="14">
        <f t="shared" si="6"/>
        <v>0</v>
      </c>
      <c r="AB16" s="14">
        <f t="shared" si="7"/>
        <v>0</v>
      </c>
      <c r="AD16" s="14">
        <v>10</v>
      </c>
      <c r="AE16" s="14">
        <f>G16*0.295154694853792</f>
        <v>0</v>
      </c>
      <c r="AF16" s="14">
        <f>G16*(1-0.295154694853792)</f>
        <v>0</v>
      </c>
    </row>
    <row r="17" spans="1:32" ht="12.75">
      <c r="A17" s="5" t="s">
        <v>11</v>
      </c>
      <c r="B17" s="5"/>
      <c r="C17" s="5" t="s">
        <v>39</v>
      </c>
      <c r="D17" s="5" t="s">
        <v>69</v>
      </c>
      <c r="E17" s="5" t="s">
        <v>97</v>
      </c>
      <c r="F17" s="14">
        <v>2</v>
      </c>
      <c r="G17" s="14"/>
      <c r="H17" s="14">
        <f t="shared" si="0"/>
        <v>0</v>
      </c>
      <c r="I17" s="14">
        <f t="shared" si="1"/>
        <v>0</v>
      </c>
      <c r="J17" s="14">
        <f t="shared" si="2"/>
        <v>0</v>
      </c>
      <c r="K17" s="14">
        <v>0.00168</v>
      </c>
      <c r="L17" s="14">
        <f t="shared" si="3"/>
        <v>0.00336</v>
      </c>
      <c r="N17" s="25" t="s">
        <v>7</v>
      </c>
      <c r="O17" s="14">
        <f t="shared" si="4"/>
        <v>0</v>
      </c>
      <c r="Z17" s="14">
        <f t="shared" si="5"/>
        <v>0</v>
      </c>
      <c r="AA17" s="14">
        <f t="shared" si="6"/>
        <v>0</v>
      </c>
      <c r="AB17" s="14">
        <f t="shared" si="7"/>
        <v>0</v>
      </c>
      <c r="AD17" s="14">
        <v>10</v>
      </c>
      <c r="AE17" s="14">
        <f>G17*0.389644181356924</f>
        <v>0</v>
      </c>
      <c r="AF17" s="14">
        <f>G17*(1-0.389644181356924)</f>
        <v>0</v>
      </c>
    </row>
    <row r="18" spans="1:32" ht="12.75">
      <c r="A18" s="5" t="s">
        <v>12</v>
      </c>
      <c r="B18" s="5"/>
      <c r="C18" s="5" t="s">
        <v>40</v>
      </c>
      <c r="D18" s="5" t="s">
        <v>70</v>
      </c>
      <c r="E18" s="5" t="s">
        <v>97</v>
      </c>
      <c r="F18" s="14">
        <v>1</v>
      </c>
      <c r="G18" s="14"/>
      <c r="H18" s="14">
        <f t="shared" si="0"/>
        <v>0</v>
      </c>
      <c r="I18" s="14">
        <f t="shared" si="1"/>
        <v>0</v>
      </c>
      <c r="J18" s="14">
        <f t="shared" si="2"/>
        <v>0</v>
      </c>
      <c r="K18" s="14">
        <v>0.00704</v>
      </c>
      <c r="L18" s="14">
        <f t="shared" si="3"/>
        <v>0.00704</v>
      </c>
      <c r="N18" s="25" t="s">
        <v>7</v>
      </c>
      <c r="O18" s="14">
        <f t="shared" si="4"/>
        <v>0</v>
      </c>
      <c r="Z18" s="14">
        <f t="shared" si="5"/>
        <v>0</v>
      </c>
      <c r="AA18" s="14">
        <f t="shared" si="6"/>
        <v>0</v>
      </c>
      <c r="AB18" s="14">
        <f t="shared" si="7"/>
        <v>0</v>
      </c>
      <c r="AD18" s="14">
        <v>10</v>
      </c>
      <c r="AE18" s="14">
        <f>G18*0.50220801278849</f>
        <v>0</v>
      </c>
      <c r="AF18" s="14">
        <f>G18*(1-0.50220801278849)</f>
        <v>0</v>
      </c>
    </row>
    <row r="19" spans="1:32" ht="12.75">
      <c r="A19" s="5" t="s">
        <v>13</v>
      </c>
      <c r="B19" s="5"/>
      <c r="C19" s="5" t="s">
        <v>41</v>
      </c>
      <c r="D19" s="5" t="s">
        <v>71</v>
      </c>
      <c r="E19" s="5" t="s">
        <v>96</v>
      </c>
      <c r="F19" s="14">
        <v>45</v>
      </c>
      <c r="G19" s="14"/>
      <c r="H19" s="14">
        <f t="shared" si="0"/>
        <v>0</v>
      </c>
      <c r="I19" s="14">
        <f t="shared" si="1"/>
        <v>0</v>
      </c>
      <c r="J19" s="14">
        <f t="shared" si="2"/>
        <v>0</v>
      </c>
      <c r="K19" s="14">
        <v>0.00563</v>
      </c>
      <c r="L19" s="14">
        <f t="shared" si="3"/>
        <v>0.25334999999999996</v>
      </c>
      <c r="N19" s="25" t="s">
        <v>7</v>
      </c>
      <c r="O19" s="14">
        <f t="shared" si="4"/>
        <v>0</v>
      </c>
      <c r="Z19" s="14">
        <f t="shared" si="5"/>
        <v>0</v>
      </c>
      <c r="AA19" s="14">
        <f t="shared" si="6"/>
        <v>0</v>
      </c>
      <c r="AB19" s="14">
        <f t="shared" si="7"/>
        <v>0</v>
      </c>
      <c r="AD19" s="14">
        <v>10</v>
      </c>
      <c r="AE19" s="14">
        <f>G19*0.379918520205471</f>
        <v>0</v>
      </c>
      <c r="AF19" s="14">
        <f>G19*(1-0.379918520205471)</f>
        <v>0</v>
      </c>
    </row>
    <row r="20" spans="1:32" ht="12.75">
      <c r="A20" s="5" t="s">
        <v>14</v>
      </c>
      <c r="B20" s="5"/>
      <c r="C20" s="5" t="s">
        <v>42</v>
      </c>
      <c r="D20" s="5" t="s">
        <v>72</v>
      </c>
      <c r="E20" s="5" t="s">
        <v>96</v>
      </c>
      <c r="F20" s="14">
        <v>25</v>
      </c>
      <c r="G20" s="14"/>
      <c r="H20" s="14">
        <f t="shared" si="0"/>
        <v>0</v>
      </c>
      <c r="I20" s="14">
        <f t="shared" si="1"/>
        <v>0</v>
      </c>
      <c r="J20" s="14">
        <f t="shared" si="2"/>
        <v>0</v>
      </c>
      <c r="K20" s="14">
        <v>0.00535</v>
      </c>
      <c r="L20" s="14">
        <f t="shared" si="3"/>
        <v>0.13374999999999998</v>
      </c>
      <c r="N20" s="25" t="s">
        <v>7</v>
      </c>
      <c r="O20" s="14">
        <f t="shared" si="4"/>
        <v>0</v>
      </c>
      <c r="Z20" s="14">
        <f t="shared" si="5"/>
        <v>0</v>
      </c>
      <c r="AA20" s="14">
        <f t="shared" si="6"/>
        <v>0</v>
      </c>
      <c r="AB20" s="14">
        <f t="shared" si="7"/>
        <v>0</v>
      </c>
      <c r="AD20" s="14">
        <v>10</v>
      </c>
      <c r="AE20" s="14">
        <f>G20*0.284075972660358</f>
        <v>0</v>
      </c>
      <c r="AF20" s="14">
        <f>G20*(1-0.284075972660358)</f>
        <v>0</v>
      </c>
    </row>
    <row r="21" spans="1:32" ht="12.75">
      <c r="A21" s="5" t="s">
        <v>15</v>
      </c>
      <c r="B21" s="5"/>
      <c r="C21" s="5" t="s">
        <v>43</v>
      </c>
      <c r="D21" s="5" t="s">
        <v>73</v>
      </c>
      <c r="E21" s="5" t="s">
        <v>96</v>
      </c>
      <c r="F21" s="14">
        <v>10</v>
      </c>
      <c r="G21" s="14"/>
      <c r="H21" s="14">
        <f t="shared" si="0"/>
        <v>0</v>
      </c>
      <c r="I21" s="14">
        <f t="shared" si="1"/>
        <v>0</v>
      </c>
      <c r="J21" s="14">
        <f t="shared" si="2"/>
        <v>0</v>
      </c>
      <c r="K21" s="14">
        <v>0.00518</v>
      </c>
      <c r="L21" s="14">
        <f t="shared" si="3"/>
        <v>0.0518</v>
      </c>
      <c r="N21" s="25" t="s">
        <v>7</v>
      </c>
      <c r="O21" s="14">
        <f t="shared" si="4"/>
        <v>0</v>
      </c>
      <c r="Z21" s="14">
        <f t="shared" si="5"/>
        <v>0</v>
      </c>
      <c r="AA21" s="14">
        <f t="shared" si="6"/>
        <v>0</v>
      </c>
      <c r="AB21" s="14">
        <f t="shared" si="7"/>
        <v>0</v>
      </c>
      <c r="AD21" s="14">
        <v>10</v>
      </c>
      <c r="AE21" s="14">
        <f>G21*0.223435871704813</f>
        <v>0</v>
      </c>
      <c r="AF21" s="14">
        <f>G21*(1-0.223435871704813)</f>
        <v>0</v>
      </c>
    </row>
    <row r="22" spans="1:32" ht="12.75">
      <c r="A22" s="5" t="s">
        <v>16</v>
      </c>
      <c r="B22" s="5"/>
      <c r="C22" s="5" t="s">
        <v>44</v>
      </c>
      <c r="D22" s="5" t="s">
        <v>74</v>
      </c>
      <c r="E22" s="5" t="s">
        <v>96</v>
      </c>
      <c r="F22" s="14">
        <v>45</v>
      </c>
      <c r="G22" s="14"/>
      <c r="H22" s="14">
        <f t="shared" si="0"/>
        <v>0</v>
      </c>
      <c r="I22" s="14">
        <f t="shared" si="1"/>
        <v>0</v>
      </c>
      <c r="J22" s="14">
        <f t="shared" si="2"/>
        <v>0</v>
      </c>
      <c r="K22" s="14">
        <v>0.00573</v>
      </c>
      <c r="L22" s="14">
        <f t="shared" si="3"/>
        <v>0.25784999999999997</v>
      </c>
      <c r="N22" s="25" t="s">
        <v>7</v>
      </c>
      <c r="O22" s="14">
        <f t="shared" si="4"/>
        <v>0</v>
      </c>
      <c r="Z22" s="14">
        <f t="shared" si="5"/>
        <v>0</v>
      </c>
      <c r="AA22" s="14">
        <f t="shared" si="6"/>
        <v>0</v>
      </c>
      <c r="AB22" s="14">
        <f t="shared" si="7"/>
        <v>0</v>
      </c>
      <c r="AD22" s="14">
        <v>10</v>
      </c>
      <c r="AE22" s="14">
        <f>G22*0.396324489443993</f>
        <v>0</v>
      </c>
      <c r="AF22" s="14">
        <f>G22*(1-0.396324489443993)</f>
        <v>0</v>
      </c>
    </row>
    <row r="23" spans="1:32" ht="12.75">
      <c r="A23" s="5" t="s">
        <v>17</v>
      </c>
      <c r="B23" s="5"/>
      <c r="C23" s="5" t="s">
        <v>45</v>
      </c>
      <c r="D23" s="5" t="s">
        <v>75</v>
      </c>
      <c r="E23" s="5" t="s">
        <v>96</v>
      </c>
      <c r="F23" s="14">
        <v>73</v>
      </c>
      <c r="G23" s="14"/>
      <c r="H23" s="14">
        <f t="shared" si="0"/>
        <v>0</v>
      </c>
      <c r="I23" s="14">
        <f t="shared" si="1"/>
        <v>0</v>
      </c>
      <c r="J23" s="14">
        <f t="shared" si="2"/>
        <v>0</v>
      </c>
      <c r="K23" s="14">
        <v>0.00541</v>
      </c>
      <c r="L23" s="14">
        <f t="shared" si="3"/>
        <v>0.39493</v>
      </c>
      <c r="N23" s="25" t="s">
        <v>7</v>
      </c>
      <c r="O23" s="14">
        <f t="shared" si="4"/>
        <v>0</v>
      </c>
      <c r="Z23" s="14">
        <f t="shared" si="5"/>
        <v>0</v>
      </c>
      <c r="AA23" s="14">
        <f t="shared" si="6"/>
        <v>0</v>
      </c>
      <c r="AB23" s="14">
        <f t="shared" si="7"/>
        <v>0</v>
      </c>
      <c r="AD23" s="14">
        <v>10</v>
      </c>
      <c r="AE23" s="14">
        <f>G23*0.299903598971722</f>
        <v>0</v>
      </c>
      <c r="AF23" s="14">
        <f>G23*(1-0.299903598971722)</f>
        <v>0</v>
      </c>
    </row>
    <row r="24" spans="1:32" ht="12.75">
      <c r="A24" s="5" t="s">
        <v>18</v>
      </c>
      <c r="B24" s="5"/>
      <c r="C24" s="5" t="s">
        <v>46</v>
      </c>
      <c r="D24" s="5" t="s">
        <v>76</v>
      </c>
      <c r="E24" s="5" t="s">
        <v>96</v>
      </c>
      <c r="F24" s="14">
        <v>43</v>
      </c>
      <c r="G24" s="14"/>
      <c r="H24" s="14">
        <f t="shared" si="0"/>
        <v>0</v>
      </c>
      <c r="I24" s="14">
        <f t="shared" si="1"/>
        <v>0</v>
      </c>
      <c r="J24" s="14">
        <f t="shared" si="2"/>
        <v>0</v>
      </c>
      <c r="K24" s="14">
        <v>0.00522</v>
      </c>
      <c r="L24" s="14">
        <f t="shared" si="3"/>
        <v>0.22446</v>
      </c>
      <c r="N24" s="25" t="s">
        <v>7</v>
      </c>
      <c r="O24" s="14">
        <f t="shared" si="4"/>
        <v>0</v>
      </c>
      <c r="Z24" s="14">
        <f t="shared" si="5"/>
        <v>0</v>
      </c>
      <c r="AA24" s="14">
        <f t="shared" si="6"/>
        <v>0</v>
      </c>
      <c r="AB24" s="14">
        <f t="shared" si="7"/>
        <v>0</v>
      </c>
      <c r="AD24" s="14">
        <v>10</v>
      </c>
      <c r="AE24" s="14">
        <f>G24*0.238167360848164</f>
        <v>0</v>
      </c>
      <c r="AF24" s="14">
        <f>G24*(1-0.238167360848164)</f>
        <v>0</v>
      </c>
    </row>
    <row r="25" spans="1:32" ht="12.75">
      <c r="A25" s="5" t="s">
        <v>19</v>
      </c>
      <c r="B25" s="5"/>
      <c r="C25" s="5" t="s">
        <v>47</v>
      </c>
      <c r="D25" s="5" t="s">
        <v>77</v>
      </c>
      <c r="E25" s="5" t="s">
        <v>97</v>
      </c>
      <c r="F25" s="14">
        <v>4</v>
      </c>
      <c r="G25" s="14"/>
      <c r="H25" s="14">
        <f t="shared" si="0"/>
        <v>0</v>
      </c>
      <c r="I25" s="14">
        <f t="shared" si="1"/>
        <v>0</v>
      </c>
      <c r="J25" s="14">
        <f t="shared" si="2"/>
        <v>0</v>
      </c>
      <c r="K25" s="14">
        <v>2E-05</v>
      </c>
      <c r="L25" s="14">
        <f t="shared" si="3"/>
        <v>8E-05</v>
      </c>
      <c r="N25" s="25" t="s">
        <v>7</v>
      </c>
      <c r="O25" s="14">
        <f t="shared" si="4"/>
        <v>0</v>
      </c>
      <c r="Z25" s="14">
        <f t="shared" si="5"/>
        <v>0</v>
      </c>
      <c r="AA25" s="14">
        <f t="shared" si="6"/>
        <v>0</v>
      </c>
      <c r="AB25" s="14">
        <f t="shared" si="7"/>
        <v>0</v>
      </c>
      <c r="AD25" s="14">
        <v>10</v>
      </c>
      <c r="AE25" s="14">
        <f>G25*0.0146594915568751</f>
        <v>0</v>
      </c>
      <c r="AF25" s="14">
        <f>G25*(1-0.0146594915568751)</f>
        <v>0</v>
      </c>
    </row>
    <row r="26" spans="1:32" ht="12.75">
      <c r="A26" s="5" t="s">
        <v>20</v>
      </c>
      <c r="B26" s="5"/>
      <c r="C26" s="5" t="s">
        <v>48</v>
      </c>
      <c r="D26" s="5" t="s">
        <v>78</v>
      </c>
      <c r="E26" s="5" t="s">
        <v>96</v>
      </c>
      <c r="F26" s="14">
        <v>78</v>
      </c>
      <c r="G26" s="14"/>
      <c r="H26" s="14">
        <f t="shared" si="0"/>
        <v>0</v>
      </c>
      <c r="I26" s="14">
        <f t="shared" si="1"/>
        <v>0</v>
      </c>
      <c r="J26" s="14">
        <f t="shared" si="2"/>
        <v>0</v>
      </c>
      <c r="K26" s="14">
        <v>0.00024</v>
      </c>
      <c r="L26" s="14">
        <f t="shared" si="3"/>
        <v>0.01872</v>
      </c>
      <c r="N26" s="25" t="s">
        <v>7</v>
      </c>
      <c r="O26" s="14">
        <f t="shared" si="4"/>
        <v>0</v>
      </c>
      <c r="Z26" s="14">
        <f t="shared" si="5"/>
        <v>0</v>
      </c>
      <c r="AA26" s="14">
        <f t="shared" si="6"/>
        <v>0</v>
      </c>
      <c r="AB26" s="14">
        <f t="shared" si="7"/>
        <v>0</v>
      </c>
      <c r="AD26" s="14">
        <v>10</v>
      </c>
      <c r="AE26" s="14">
        <f>G26*0.753362057709884</f>
        <v>0</v>
      </c>
      <c r="AF26" s="14">
        <f>G26*(1-0.753362057709884)</f>
        <v>0</v>
      </c>
    </row>
    <row r="27" spans="1:32" ht="12.75">
      <c r="A27" s="5" t="s">
        <v>21</v>
      </c>
      <c r="B27" s="5"/>
      <c r="C27" s="5" t="s">
        <v>49</v>
      </c>
      <c r="D27" s="5" t="s">
        <v>79</v>
      </c>
      <c r="E27" s="5" t="s">
        <v>97</v>
      </c>
      <c r="F27" s="14">
        <v>18</v>
      </c>
      <c r="G27" s="14"/>
      <c r="H27" s="14">
        <f t="shared" si="0"/>
        <v>0</v>
      </c>
      <c r="I27" s="14">
        <f t="shared" si="1"/>
        <v>0</v>
      </c>
      <c r="J27" s="14">
        <f t="shared" si="2"/>
        <v>0</v>
      </c>
      <c r="K27" s="14">
        <v>0.00077</v>
      </c>
      <c r="L27" s="14">
        <f t="shared" si="3"/>
        <v>0.013859999999999999</v>
      </c>
      <c r="N27" s="25" t="s">
        <v>7</v>
      </c>
      <c r="O27" s="14">
        <f t="shared" si="4"/>
        <v>0</v>
      </c>
      <c r="Z27" s="14">
        <f t="shared" si="5"/>
        <v>0</v>
      </c>
      <c r="AA27" s="14">
        <f t="shared" si="6"/>
        <v>0</v>
      </c>
      <c r="AB27" s="14">
        <f t="shared" si="7"/>
        <v>0</v>
      </c>
      <c r="AD27" s="14">
        <v>10</v>
      </c>
      <c r="AE27" s="14">
        <f>G27*0.800714678394722</f>
        <v>0</v>
      </c>
      <c r="AF27" s="14">
        <f>G27*(1-0.800714678394722)</f>
        <v>0</v>
      </c>
    </row>
    <row r="28" spans="1:32" ht="12.75">
      <c r="A28" s="5" t="s">
        <v>22</v>
      </c>
      <c r="B28" s="5"/>
      <c r="C28" s="5" t="s">
        <v>50</v>
      </c>
      <c r="D28" s="5" t="s">
        <v>80</v>
      </c>
      <c r="E28" s="5" t="s">
        <v>97</v>
      </c>
      <c r="F28" s="14">
        <v>4</v>
      </c>
      <c r="G28" s="14"/>
      <c r="H28" s="14">
        <f t="shared" si="0"/>
        <v>0</v>
      </c>
      <c r="I28" s="14">
        <f t="shared" si="1"/>
        <v>0</v>
      </c>
      <c r="J28" s="14">
        <f t="shared" si="2"/>
        <v>0</v>
      </c>
      <c r="K28" s="14">
        <v>0.00212</v>
      </c>
      <c r="L28" s="14">
        <f t="shared" si="3"/>
        <v>0.00848</v>
      </c>
      <c r="N28" s="25" t="s">
        <v>7</v>
      </c>
      <c r="O28" s="14">
        <f t="shared" si="4"/>
        <v>0</v>
      </c>
      <c r="Z28" s="14">
        <f t="shared" si="5"/>
        <v>0</v>
      </c>
      <c r="AA28" s="14">
        <f t="shared" si="6"/>
        <v>0</v>
      </c>
      <c r="AB28" s="14">
        <f t="shared" si="7"/>
        <v>0</v>
      </c>
      <c r="AD28" s="14">
        <v>10</v>
      </c>
      <c r="AE28" s="14">
        <f>G28*0.874806329531889</f>
        <v>0</v>
      </c>
      <c r="AF28" s="14">
        <f>G28*(1-0.874806329531889)</f>
        <v>0</v>
      </c>
    </row>
    <row r="29" spans="1:32" ht="12.75">
      <c r="A29" s="5" t="s">
        <v>23</v>
      </c>
      <c r="B29" s="5"/>
      <c r="C29" s="5" t="s">
        <v>51</v>
      </c>
      <c r="D29" s="5" t="s">
        <v>81</v>
      </c>
      <c r="E29" s="5" t="s">
        <v>97</v>
      </c>
      <c r="F29" s="14">
        <v>250</v>
      </c>
      <c r="G29" s="14"/>
      <c r="H29" s="14">
        <f t="shared" si="0"/>
        <v>0</v>
      </c>
      <c r="I29" s="14">
        <f t="shared" si="1"/>
        <v>0</v>
      </c>
      <c r="J29" s="14">
        <f t="shared" si="2"/>
        <v>0</v>
      </c>
      <c r="K29" s="14">
        <v>0.00024</v>
      </c>
      <c r="L29" s="14">
        <f t="shared" si="3"/>
        <v>0.060000000000000005</v>
      </c>
      <c r="N29" s="25" t="s">
        <v>7</v>
      </c>
      <c r="O29" s="14">
        <f t="shared" si="4"/>
        <v>0</v>
      </c>
      <c r="Z29" s="14">
        <f t="shared" si="5"/>
        <v>0</v>
      </c>
      <c r="AA29" s="14">
        <f t="shared" si="6"/>
        <v>0</v>
      </c>
      <c r="AB29" s="14">
        <f t="shared" si="7"/>
        <v>0</v>
      </c>
      <c r="AD29" s="14">
        <v>10</v>
      </c>
      <c r="AE29" s="14">
        <f>G29*0.857120646766169</f>
        <v>0</v>
      </c>
      <c r="AF29" s="14">
        <f>G29*(1-0.857120646766169)</f>
        <v>0</v>
      </c>
    </row>
    <row r="30" spans="1:32" ht="12.75">
      <c r="A30" s="5" t="s">
        <v>24</v>
      </c>
      <c r="B30" s="5"/>
      <c r="C30" s="5" t="s">
        <v>52</v>
      </c>
      <c r="D30" s="5" t="s">
        <v>82</v>
      </c>
      <c r="E30" s="5" t="s">
        <v>97</v>
      </c>
      <c r="F30" s="14">
        <v>250</v>
      </c>
      <c r="G30" s="14"/>
      <c r="H30" s="14">
        <f t="shared" si="0"/>
        <v>0</v>
      </c>
      <c r="I30" s="14">
        <f t="shared" si="1"/>
        <v>0</v>
      </c>
      <c r="J30" s="14">
        <f t="shared" si="2"/>
        <v>0</v>
      </c>
      <c r="K30" s="14">
        <v>0.00012</v>
      </c>
      <c r="L30" s="14">
        <f t="shared" si="3"/>
        <v>0.030000000000000002</v>
      </c>
      <c r="N30" s="25" t="s">
        <v>7</v>
      </c>
      <c r="O30" s="14">
        <f t="shared" si="4"/>
        <v>0</v>
      </c>
      <c r="Z30" s="14">
        <f t="shared" si="5"/>
        <v>0</v>
      </c>
      <c r="AA30" s="14">
        <f t="shared" si="6"/>
        <v>0</v>
      </c>
      <c r="AB30" s="14">
        <f t="shared" si="7"/>
        <v>0</v>
      </c>
      <c r="AD30" s="14">
        <v>10</v>
      </c>
      <c r="AE30" s="14">
        <f>G30*0.789571694599628</f>
        <v>0</v>
      </c>
      <c r="AF30" s="14">
        <f>G30*(1-0.789571694599628)</f>
        <v>0</v>
      </c>
    </row>
    <row r="31" spans="1:32" ht="12.75">
      <c r="A31" s="5" t="s">
        <v>25</v>
      </c>
      <c r="B31" s="5"/>
      <c r="C31" s="5" t="s">
        <v>53</v>
      </c>
      <c r="D31" s="5" t="s">
        <v>83</v>
      </c>
      <c r="E31" s="5" t="s">
        <v>97</v>
      </c>
      <c r="F31" s="14">
        <v>50</v>
      </c>
      <c r="G31" s="14"/>
      <c r="H31" s="14">
        <f t="shared" si="0"/>
        <v>0</v>
      </c>
      <c r="I31" s="14">
        <f t="shared" si="1"/>
        <v>0</v>
      </c>
      <c r="J31" s="14">
        <f t="shared" si="2"/>
        <v>0</v>
      </c>
      <c r="K31" s="14">
        <v>0.00084</v>
      </c>
      <c r="L31" s="14">
        <f t="shared" si="3"/>
        <v>0.042</v>
      </c>
      <c r="N31" s="25" t="s">
        <v>7</v>
      </c>
      <c r="O31" s="14">
        <f t="shared" si="4"/>
        <v>0</v>
      </c>
      <c r="Z31" s="14">
        <f t="shared" si="5"/>
        <v>0</v>
      </c>
      <c r="AA31" s="14">
        <f t="shared" si="6"/>
        <v>0</v>
      </c>
      <c r="AB31" s="14">
        <f t="shared" si="7"/>
        <v>0</v>
      </c>
      <c r="AD31" s="14">
        <v>10</v>
      </c>
      <c r="AE31" s="14">
        <f>G31*0.942797216131185</f>
        <v>0</v>
      </c>
      <c r="AF31" s="14">
        <f>G31*(1-0.942797216131185)</f>
        <v>0</v>
      </c>
    </row>
    <row r="32" spans="1:32" ht="12.75">
      <c r="A32" s="5" t="s">
        <v>26</v>
      </c>
      <c r="B32" s="5"/>
      <c r="C32" s="5" t="s">
        <v>54</v>
      </c>
      <c r="D32" s="5" t="s">
        <v>84</v>
      </c>
      <c r="E32" s="5" t="s">
        <v>96</v>
      </c>
      <c r="F32" s="14">
        <v>250</v>
      </c>
      <c r="G32" s="14"/>
      <c r="H32" s="14">
        <f t="shared" si="0"/>
        <v>0</v>
      </c>
      <c r="I32" s="14">
        <f t="shared" si="1"/>
        <v>0</v>
      </c>
      <c r="J32" s="14">
        <f t="shared" si="2"/>
        <v>0</v>
      </c>
      <c r="K32" s="14">
        <v>0.00018</v>
      </c>
      <c r="L32" s="14">
        <f t="shared" si="3"/>
        <v>0.045000000000000005</v>
      </c>
      <c r="N32" s="25" t="s">
        <v>7</v>
      </c>
      <c r="O32" s="14">
        <f t="shared" si="4"/>
        <v>0</v>
      </c>
      <c r="Z32" s="14">
        <f t="shared" si="5"/>
        <v>0</v>
      </c>
      <c r="AA32" s="14">
        <f t="shared" si="6"/>
        <v>0</v>
      </c>
      <c r="AB32" s="14">
        <f t="shared" si="7"/>
        <v>0</v>
      </c>
      <c r="AD32" s="14">
        <v>10</v>
      </c>
      <c r="AE32" s="14">
        <f>G32*0.273655752478222</f>
        <v>0</v>
      </c>
      <c r="AF32" s="14">
        <f>G32*(1-0.273655752478222)</f>
        <v>0</v>
      </c>
    </row>
    <row r="33" spans="1:32" ht="12.75">
      <c r="A33" s="5" t="s">
        <v>27</v>
      </c>
      <c r="B33" s="5"/>
      <c r="C33" s="5" t="s">
        <v>55</v>
      </c>
      <c r="D33" s="5" t="s">
        <v>85</v>
      </c>
      <c r="E33" s="5" t="s">
        <v>98</v>
      </c>
      <c r="F33" s="14">
        <v>2.6</v>
      </c>
      <c r="G33" s="14"/>
      <c r="H33" s="14">
        <f t="shared" si="0"/>
        <v>0</v>
      </c>
      <c r="I33" s="14">
        <f t="shared" si="1"/>
        <v>0</v>
      </c>
      <c r="J33" s="14">
        <f t="shared" si="2"/>
        <v>0</v>
      </c>
      <c r="K33" s="14">
        <v>0</v>
      </c>
      <c r="L33" s="14">
        <f t="shared" si="3"/>
        <v>0</v>
      </c>
      <c r="N33" s="25" t="s">
        <v>7</v>
      </c>
      <c r="O33" s="14">
        <f t="shared" si="4"/>
        <v>0</v>
      </c>
      <c r="Z33" s="14">
        <f t="shared" si="5"/>
        <v>0</v>
      </c>
      <c r="AA33" s="14">
        <f t="shared" si="6"/>
        <v>0</v>
      </c>
      <c r="AB33" s="14">
        <f t="shared" si="7"/>
        <v>0</v>
      </c>
      <c r="AD33" s="14">
        <v>10</v>
      </c>
      <c r="AE33" s="14">
        <f>G33*0</f>
        <v>0</v>
      </c>
      <c r="AF33" s="14">
        <f>G33*(1-0)</f>
        <v>0</v>
      </c>
    </row>
    <row r="34" spans="1:37" ht="12.75">
      <c r="A34" s="6"/>
      <c r="B34" s="6"/>
      <c r="C34" s="12" t="s">
        <v>56</v>
      </c>
      <c r="D34" s="58" t="s">
        <v>86</v>
      </c>
      <c r="E34" s="59"/>
      <c r="F34" s="59"/>
      <c r="G34" s="59"/>
      <c r="H34" s="27">
        <f>SUM(H35:H35)</f>
        <v>0</v>
      </c>
      <c r="I34" s="27">
        <f>SUM(I35:I35)</f>
        <v>0</v>
      </c>
      <c r="J34" s="27">
        <f>H34+I34</f>
        <v>0</v>
      </c>
      <c r="K34" s="22"/>
      <c r="L34" s="27">
        <f>SUM(L35:L35)</f>
        <v>0</v>
      </c>
      <c r="P34" s="27">
        <f>IF(Q34="PR",J34,SUM(O35:O35))</f>
        <v>0</v>
      </c>
      <c r="Q34" s="22" t="s">
        <v>118</v>
      </c>
      <c r="R34" s="27">
        <f>IF(Q34="HS",H34,0)</f>
        <v>0</v>
      </c>
      <c r="S34" s="27">
        <f>IF(Q34="HS",I34-P34,0)</f>
        <v>0</v>
      </c>
      <c r="T34" s="27">
        <f>IF(Q34="PS",H34,0)</f>
        <v>0</v>
      </c>
      <c r="U34" s="27">
        <f>IF(Q34="PS",I34-P34,0)</f>
        <v>0</v>
      </c>
      <c r="V34" s="27">
        <f>IF(Q34="MP",H34,0)</f>
        <v>0</v>
      </c>
      <c r="W34" s="27">
        <f>IF(Q34="MP",I34-P34,0)</f>
        <v>0</v>
      </c>
      <c r="X34" s="27">
        <f>IF(Q34="OM",H34,0)</f>
        <v>0</v>
      </c>
      <c r="Y34" s="22"/>
      <c r="AI34" s="27">
        <f>SUM(Z35:Z35)</f>
        <v>0</v>
      </c>
      <c r="AJ34" s="27">
        <f>SUM(AA35:AA35)</f>
        <v>0</v>
      </c>
      <c r="AK34" s="27">
        <f>SUM(AB35:AB35)</f>
        <v>0</v>
      </c>
    </row>
    <row r="35" spans="1:32" ht="12.75">
      <c r="A35" s="5" t="s">
        <v>28</v>
      </c>
      <c r="B35" s="5"/>
      <c r="C35" s="5" t="s">
        <v>57</v>
      </c>
      <c r="D35" s="5" t="s">
        <v>87</v>
      </c>
      <c r="E35" s="5" t="s">
        <v>99</v>
      </c>
      <c r="F35" s="14">
        <v>20</v>
      </c>
      <c r="G35" s="14"/>
      <c r="H35" s="14">
        <f>ROUND(F35*AE35,2)</f>
        <v>0</v>
      </c>
      <c r="I35" s="14">
        <f>J35-H35</f>
        <v>0</v>
      </c>
      <c r="J35" s="14">
        <f>ROUND(F35*G35,2)</f>
        <v>0</v>
      </c>
      <c r="K35" s="14">
        <v>0</v>
      </c>
      <c r="L35" s="14">
        <f>F35*K35</f>
        <v>0</v>
      </c>
      <c r="N35" s="25" t="s">
        <v>7</v>
      </c>
      <c r="O35" s="14">
        <f>IF(N35="5",I35,0)</f>
        <v>0</v>
      </c>
      <c r="Z35" s="14">
        <f>IF(AD35=0,J35,0)</f>
        <v>0</v>
      </c>
      <c r="AA35" s="14">
        <f>IF(AD35=10,J35,0)</f>
        <v>0</v>
      </c>
      <c r="AB35" s="14">
        <f>IF(AD35=20,J35,0)</f>
        <v>0</v>
      </c>
      <c r="AD35" s="14">
        <v>10</v>
      </c>
      <c r="AE35" s="14">
        <f>G35*0</f>
        <v>0</v>
      </c>
      <c r="AF35" s="14">
        <f>G35*(1-0)</f>
        <v>0</v>
      </c>
    </row>
    <row r="36" spans="1:37" ht="12.75">
      <c r="A36" s="6"/>
      <c r="B36" s="6"/>
      <c r="C36" s="12" t="s">
        <v>58</v>
      </c>
      <c r="D36" s="58" t="s">
        <v>88</v>
      </c>
      <c r="E36" s="59"/>
      <c r="F36" s="59"/>
      <c r="G36" s="59"/>
      <c r="H36" s="27">
        <f>SUM(H37:H39)</f>
        <v>0</v>
      </c>
      <c r="I36" s="27">
        <f>SUM(I37:I39)</f>
        <v>0</v>
      </c>
      <c r="J36" s="27">
        <f>H36+I36</f>
        <v>0</v>
      </c>
      <c r="K36" s="22"/>
      <c r="L36" s="27">
        <f>SUM(L37:L39)</f>
        <v>4.146</v>
      </c>
      <c r="P36" s="27">
        <f>IF(Q36="PR",J36,SUM(O37:O39))</f>
        <v>0</v>
      </c>
      <c r="Q36" s="22" t="s">
        <v>118</v>
      </c>
      <c r="R36" s="27">
        <f>IF(Q36="HS",H36,0)</f>
        <v>0</v>
      </c>
      <c r="S36" s="27">
        <f>IF(Q36="HS",I36-P36,0)</f>
        <v>0</v>
      </c>
      <c r="T36" s="27">
        <f>IF(Q36="PS",H36,0)</f>
        <v>0</v>
      </c>
      <c r="U36" s="27">
        <f>IF(Q36="PS",I36-P36,0)</f>
        <v>0</v>
      </c>
      <c r="V36" s="27">
        <f>IF(Q36="MP",H36,0)</f>
        <v>0</v>
      </c>
      <c r="W36" s="27">
        <f>IF(Q36="MP",I36-P36,0)</f>
        <v>0</v>
      </c>
      <c r="X36" s="27">
        <f>IF(Q36="OM",H36,0)</f>
        <v>0</v>
      </c>
      <c r="Y36" s="22"/>
      <c r="AI36" s="27">
        <f>SUM(Z37:Z39)</f>
        <v>0</v>
      </c>
      <c r="AJ36" s="27">
        <f>SUM(AA37:AA39)</f>
        <v>0</v>
      </c>
      <c r="AK36" s="27">
        <f>SUM(AB37:AB39)</f>
        <v>0</v>
      </c>
    </row>
    <row r="37" spans="1:32" ht="12.75">
      <c r="A37" s="5" t="s">
        <v>29</v>
      </c>
      <c r="B37" s="5"/>
      <c r="C37" s="5" t="s">
        <v>59</v>
      </c>
      <c r="D37" s="5" t="s">
        <v>89</v>
      </c>
      <c r="E37" s="5" t="s">
        <v>100</v>
      </c>
      <c r="F37" s="14">
        <v>12</v>
      </c>
      <c r="G37" s="14"/>
      <c r="H37" s="14">
        <f>ROUND(F37*AE37,2)</f>
        <v>0</v>
      </c>
      <c r="I37" s="14">
        <f>J37-H37</f>
        <v>0</v>
      </c>
      <c r="J37" s="14">
        <f>ROUND(F37*G37,2)</f>
        <v>0</v>
      </c>
      <c r="K37" s="14">
        <v>0.293</v>
      </c>
      <c r="L37" s="14">
        <f>F37*K37</f>
        <v>3.516</v>
      </c>
      <c r="N37" s="25" t="s">
        <v>7</v>
      </c>
      <c r="O37" s="14">
        <f>IF(N37="5",I37,0)</f>
        <v>0</v>
      </c>
      <c r="Z37" s="14">
        <f>IF(AD37=0,J37,0)</f>
        <v>0</v>
      </c>
      <c r="AA37" s="14">
        <f>IF(AD37=10,J37,0)</f>
        <v>0</v>
      </c>
      <c r="AB37" s="14">
        <f>IF(AD37=20,J37,0)</f>
        <v>0</v>
      </c>
      <c r="AD37" s="14">
        <v>10</v>
      </c>
      <c r="AE37" s="14">
        <f>G37*0.134321411950023</f>
        <v>0</v>
      </c>
      <c r="AF37" s="14">
        <f>G37*(1-0.134321411950023)</f>
        <v>0</v>
      </c>
    </row>
    <row r="38" spans="1:32" ht="12.75">
      <c r="A38" s="5" t="s">
        <v>30</v>
      </c>
      <c r="B38" s="5"/>
      <c r="C38" s="5" t="s">
        <v>60</v>
      </c>
      <c r="D38" s="5" t="s">
        <v>90</v>
      </c>
      <c r="E38" s="5" t="s">
        <v>101</v>
      </c>
      <c r="F38" s="14">
        <v>0.3</v>
      </c>
      <c r="G38" s="14"/>
      <c r="H38" s="14">
        <f>ROUND(F38*AE38,2)</f>
        <v>0</v>
      </c>
      <c r="I38" s="14">
        <f>J38-H38</f>
        <v>0</v>
      </c>
      <c r="J38" s="14">
        <f>ROUND(F38*G38,2)</f>
        <v>0</v>
      </c>
      <c r="K38" s="14">
        <v>1.95</v>
      </c>
      <c r="L38" s="14">
        <f>F38*K38</f>
        <v>0.585</v>
      </c>
      <c r="N38" s="25" t="s">
        <v>7</v>
      </c>
      <c r="O38" s="14">
        <f>IF(N38="5",I38,0)</f>
        <v>0</v>
      </c>
      <c r="Z38" s="14">
        <f>IF(AD38=0,J38,0)</f>
        <v>0</v>
      </c>
      <c r="AA38" s="14">
        <f>IF(AD38=10,J38,0)</f>
        <v>0</v>
      </c>
      <c r="AB38" s="14">
        <f>IF(AD38=20,J38,0)</f>
        <v>0</v>
      </c>
      <c r="AD38" s="14">
        <v>10</v>
      </c>
      <c r="AE38" s="14">
        <f>G38*0.0233647754469942</f>
        <v>0</v>
      </c>
      <c r="AF38" s="14">
        <f>G38*(1-0.0233647754469942)</f>
        <v>0</v>
      </c>
    </row>
    <row r="39" spans="1:32" ht="12.75">
      <c r="A39" s="7" t="s">
        <v>31</v>
      </c>
      <c r="B39" s="7"/>
      <c r="C39" s="7" t="s">
        <v>61</v>
      </c>
      <c r="D39" s="7" t="s">
        <v>134</v>
      </c>
      <c r="E39" s="7" t="s">
        <v>97</v>
      </c>
      <c r="F39" s="15">
        <v>3</v>
      </c>
      <c r="G39" s="15"/>
      <c r="H39" s="15">
        <f>ROUND(F39*AE39,2)</f>
        <v>0</v>
      </c>
      <c r="I39" s="15">
        <f>J39-H39</f>
        <v>0</v>
      </c>
      <c r="J39" s="15">
        <f>ROUND(F39*G39,2)</f>
        <v>0</v>
      </c>
      <c r="K39" s="15">
        <v>0.015</v>
      </c>
      <c r="L39" s="15">
        <f>F39*K39</f>
        <v>0.045</v>
      </c>
      <c r="N39" s="25" t="s">
        <v>7</v>
      </c>
      <c r="O39" s="14">
        <f>IF(N39="5",I39,0)</f>
        <v>0</v>
      </c>
      <c r="Z39" s="14">
        <f>IF(AD39=0,J39,0)</f>
        <v>0</v>
      </c>
      <c r="AA39" s="14">
        <f>IF(AD39=10,J39,0)</f>
        <v>0</v>
      </c>
      <c r="AB39" s="14">
        <f>IF(AD39=20,J39,0)</f>
        <v>0</v>
      </c>
      <c r="AD39" s="14">
        <v>10</v>
      </c>
      <c r="AE39" s="14">
        <f>G39*0</f>
        <v>0</v>
      </c>
      <c r="AF39" s="14">
        <f>G39*(1-0)</f>
        <v>0</v>
      </c>
    </row>
    <row r="40" spans="1:28" ht="12.75">
      <c r="A40" s="8"/>
      <c r="B40" s="8"/>
      <c r="C40" s="8"/>
      <c r="D40" s="8"/>
      <c r="E40" s="8"/>
      <c r="F40" s="8"/>
      <c r="G40" s="8"/>
      <c r="H40" s="52" t="s">
        <v>107</v>
      </c>
      <c r="I40" s="60"/>
      <c r="J40" s="28">
        <f>J12+J34+J36</f>
        <v>0</v>
      </c>
      <c r="K40" s="8"/>
      <c r="L40" s="8"/>
      <c r="Z40" s="29">
        <f>SUM(Z13:Z39)</f>
        <v>0</v>
      </c>
      <c r="AA40" s="29">
        <f>SUM(AA13:AA39)</f>
        <v>0</v>
      </c>
      <c r="AB40" s="29">
        <f>SUM(AB13:AB39)</f>
        <v>0</v>
      </c>
    </row>
  </sheetData>
  <mergeCells count="31">
    <mergeCell ref="D36:G36"/>
    <mergeCell ref="H40:I40"/>
    <mergeCell ref="H10:J10"/>
    <mergeCell ref="K10:L10"/>
    <mergeCell ref="D12:G12"/>
    <mergeCell ref="D34:G34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C1">
      <selection activeCell="D26" sqref="D26"/>
    </sheetView>
  </sheetViews>
  <sheetFormatPr defaultColWidth="9.14062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  <col min="10" max="16384" width="11.421875" style="0" customWidth="1"/>
  </cols>
  <sheetData>
    <row r="1" spans="1:7" ht="21.75" customHeight="1">
      <c r="A1" s="41" t="s">
        <v>126</v>
      </c>
      <c r="B1" s="42"/>
      <c r="C1" s="42"/>
      <c r="D1" s="42"/>
      <c r="E1" s="42"/>
      <c r="F1" s="42"/>
      <c r="G1" s="37"/>
    </row>
    <row r="2" spans="1:8" ht="12.75">
      <c r="A2" s="43" t="s">
        <v>1</v>
      </c>
      <c r="B2" s="52" t="s">
        <v>62</v>
      </c>
      <c r="C2" s="60"/>
      <c r="D2" s="48" t="s">
        <v>108</v>
      </c>
      <c r="E2" s="48"/>
      <c r="F2" s="44"/>
      <c r="G2" s="55"/>
      <c r="H2" s="23"/>
    </row>
    <row r="3" spans="1:8" ht="12.75">
      <c r="A3" s="45"/>
      <c r="B3" s="53"/>
      <c r="C3" s="53"/>
      <c r="D3" s="46"/>
      <c r="E3" s="46"/>
      <c r="F3" s="46"/>
      <c r="G3" s="56"/>
      <c r="H3" s="23"/>
    </row>
    <row r="4" spans="1:8" ht="12.75">
      <c r="A4" s="47" t="s">
        <v>2</v>
      </c>
      <c r="B4" s="49"/>
      <c r="C4" s="46"/>
      <c r="D4" s="49" t="s">
        <v>109</v>
      </c>
      <c r="E4" s="49"/>
      <c r="F4" s="46"/>
      <c r="G4" s="56"/>
      <c r="H4" s="23"/>
    </row>
    <row r="5" spans="1:8" ht="12.75">
      <c r="A5" s="45"/>
      <c r="B5" s="46"/>
      <c r="C5" s="46"/>
      <c r="D5" s="46"/>
      <c r="E5" s="46"/>
      <c r="F5" s="46"/>
      <c r="G5" s="56"/>
      <c r="H5" s="23"/>
    </row>
    <row r="6" spans="1:8" ht="12.75">
      <c r="A6" s="47" t="s">
        <v>3</v>
      </c>
      <c r="B6" s="49"/>
      <c r="C6" s="46"/>
      <c r="D6" s="49" t="s">
        <v>110</v>
      </c>
      <c r="E6" s="49"/>
      <c r="F6" s="46"/>
      <c r="G6" s="56"/>
      <c r="H6" s="23"/>
    </row>
    <row r="7" spans="1:8" ht="12.75">
      <c r="A7" s="45"/>
      <c r="B7" s="46"/>
      <c r="C7" s="46"/>
      <c r="D7" s="46"/>
      <c r="E7" s="46"/>
      <c r="F7" s="46"/>
      <c r="G7" s="56"/>
      <c r="H7" s="23"/>
    </row>
    <row r="8" spans="1:8" ht="12.75">
      <c r="A8" s="47" t="s">
        <v>111</v>
      </c>
      <c r="B8" s="49"/>
      <c r="C8" s="46"/>
      <c r="D8" s="49" t="s">
        <v>94</v>
      </c>
      <c r="E8" s="54">
        <v>41731</v>
      </c>
      <c r="F8" s="46"/>
      <c r="G8" s="56"/>
      <c r="H8" s="23"/>
    </row>
    <row r="9" spans="1:8" ht="12.75">
      <c r="A9" s="50"/>
      <c r="B9" s="51"/>
      <c r="C9" s="51"/>
      <c r="D9" s="51"/>
      <c r="E9" s="51"/>
      <c r="F9" s="51"/>
      <c r="G9" s="57"/>
      <c r="H9" s="23"/>
    </row>
    <row r="10" spans="1:8" ht="12.75">
      <c r="A10" s="30" t="s">
        <v>32</v>
      </c>
      <c r="B10" s="32" t="s">
        <v>33</v>
      </c>
      <c r="C10" s="33" t="s">
        <v>63</v>
      </c>
      <c r="D10" s="34" t="s">
        <v>127</v>
      </c>
      <c r="E10" s="34" t="s">
        <v>128</v>
      </c>
      <c r="F10" s="34" t="s">
        <v>129</v>
      </c>
      <c r="G10" s="38" t="s">
        <v>130</v>
      </c>
      <c r="H10" s="24"/>
    </row>
    <row r="11" spans="1:9" ht="12.75">
      <c r="A11" s="31"/>
      <c r="B11" s="31" t="s">
        <v>34</v>
      </c>
      <c r="C11" s="31" t="s">
        <v>64</v>
      </c>
      <c r="D11" s="35"/>
      <c r="E11" s="35"/>
      <c r="F11" s="35">
        <f>D11+E11</f>
        <v>0</v>
      </c>
      <c r="G11" s="35">
        <v>2.60242</v>
      </c>
      <c r="H11" s="14" t="s">
        <v>131</v>
      </c>
      <c r="I11" s="14">
        <f>IF(H11="T",0,F11)</f>
        <v>0</v>
      </c>
    </row>
    <row r="12" spans="1:9" ht="12.75">
      <c r="A12" s="5"/>
      <c r="B12" s="5" t="s">
        <v>56</v>
      </c>
      <c r="C12" s="5" t="s">
        <v>86</v>
      </c>
      <c r="D12" s="14"/>
      <c r="E12" s="14"/>
      <c r="F12" s="14">
        <f>D12+E12</f>
        <v>0</v>
      </c>
      <c r="G12" s="14">
        <v>0</v>
      </c>
      <c r="H12" s="14" t="s">
        <v>131</v>
      </c>
      <c r="I12" s="14">
        <f>IF(H12="T",0,F12)</f>
        <v>0</v>
      </c>
    </row>
    <row r="13" spans="1:9" ht="12.75">
      <c r="A13" s="5"/>
      <c r="B13" s="5" t="s">
        <v>58</v>
      </c>
      <c r="C13" s="5" t="s">
        <v>88</v>
      </c>
      <c r="D13" s="14"/>
      <c r="E13" s="14"/>
      <c r="F13" s="14">
        <f>D13+E13</f>
        <v>0</v>
      </c>
      <c r="G13" s="14">
        <v>4.146</v>
      </c>
      <c r="H13" s="14" t="s">
        <v>131</v>
      </c>
      <c r="I13" s="14">
        <f>IF(H13="T",0,F13)</f>
        <v>0</v>
      </c>
    </row>
    <row r="15" spans="5:6" ht="12.75">
      <c r="E15" s="36" t="s">
        <v>107</v>
      </c>
      <c r="F15" s="29">
        <f>SUM(I11:I13)</f>
        <v>0</v>
      </c>
    </row>
  </sheetData>
  <mergeCells count="17">
    <mergeCell ref="D8:D9"/>
    <mergeCell ref="E2:G3"/>
    <mergeCell ref="E4:G5"/>
    <mergeCell ref="E6:G7"/>
    <mergeCell ref="E8:G9"/>
    <mergeCell ref="A8:A9"/>
    <mergeCell ref="B2:C3"/>
    <mergeCell ref="B4:C5"/>
    <mergeCell ref="B6:C7"/>
    <mergeCell ref="B8:C9"/>
    <mergeCell ref="A1:F1"/>
    <mergeCell ref="A2:A3"/>
    <mergeCell ref="A4:A5"/>
    <mergeCell ref="A6:A7"/>
    <mergeCell ref="D2:D3"/>
    <mergeCell ref="D4:D5"/>
    <mergeCell ref="D6:D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G1"/>
    </sheetView>
  </sheetViews>
  <sheetFormatPr defaultColWidth="9.140625" defaultRowHeight="12.75"/>
  <cols>
    <col min="3" max="3" width="13.28125" style="0" customWidth="1"/>
    <col min="4" max="4" width="44.00390625" style="0" customWidth="1"/>
    <col min="5" max="5" width="9.8515625" style="0" customWidth="1"/>
    <col min="6" max="6" width="24.140625" style="0" customWidth="1"/>
    <col min="7" max="7" width="20.421875" style="0" customWidth="1"/>
    <col min="8" max="8" width="44.00390625" style="0" customWidth="1"/>
    <col min="9" max="16384" width="11.421875" style="0" customWidth="1"/>
  </cols>
  <sheetData>
    <row r="1" spans="1:7" ht="21.75" customHeight="1">
      <c r="A1" s="41" t="s">
        <v>132</v>
      </c>
      <c r="B1" s="42"/>
      <c r="C1" s="42"/>
      <c r="D1" s="42"/>
      <c r="E1" s="42"/>
      <c r="F1" s="42"/>
      <c r="G1" s="42"/>
    </row>
    <row r="2" spans="1:8" ht="12.75">
      <c r="A2" s="43" t="s">
        <v>1</v>
      </c>
      <c r="B2" s="44"/>
      <c r="C2" s="52" t="s">
        <v>62</v>
      </c>
      <c r="D2" s="60"/>
      <c r="E2" s="48" t="s">
        <v>108</v>
      </c>
      <c r="F2" s="48"/>
      <c r="G2" s="55"/>
      <c r="H2" s="23"/>
    </row>
    <row r="3" spans="1:8" ht="12.75">
      <c r="A3" s="45"/>
      <c r="B3" s="46"/>
      <c r="C3" s="53"/>
      <c r="D3" s="53"/>
      <c r="E3" s="46"/>
      <c r="F3" s="46"/>
      <c r="G3" s="56"/>
      <c r="H3" s="23"/>
    </row>
    <row r="4" spans="1:8" ht="12.75">
      <c r="A4" s="47" t="s">
        <v>2</v>
      </c>
      <c r="B4" s="46"/>
      <c r="C4" s="49"/>
      <c r="D4" s="46"/>
      <c r="E4" s="49" t="s">
        <v>109</v>
      </c>
      <c r="F4" s="49"/>
      <c r="G4" s="56"/>
      <c r="H4" s="23"/>
    </row>
    <row r="5" spans="1:8" ht="12.75">
      <c r="A5" s="45"/>
      <c r="B5" s="46"/>
      <c r="C5" s="46"/>
      <c r="D5" s="46"/>
      <c r="E5" s="46"/>
      <c r="F5" s="46"/>
      <c r="G5" s="56"/>
      <c r="H5" s="23"/>
    </row>
    <row r="6" spans="1:8" ht="12.75">
      <c r="A6" s="47" t="s">
        <v>3</v>
      </c>
      <c r="B6" s="46"/>
      <c r="C6" s="49"/>
      <c r="D6" s="46"/>
      <c r="E6" s="49" t="s">
        <v>110</v>
      </c>
      <c r="F6" s="49"/>
      <c r="G6" s="56"/>
      <c r="H6" s="23"/>
    </row>
    <row r="7" spans="1:8" ht="12.75">
      <c r="A7" s="45"/>
      <c r="B7" s="46"/>
      <c r="C7" s="46"/>
      <c r="D7" s="46"/>
      <c r="E7" s="46"/>
      <c r="F7" s="46"/>
      <c r="G7" s="56"/>
      <c r="H7" s="23"/>
    </row>
    <row r="8" spans="1:8" ht="12.75">
      <c r="A8" s="47" t="s">
        <v>111</v>
      </c>
      <c r="B8" s="46"/>
      <c r="C8" s="49"/>
      <c r="D8" s="46"/>
      <c r="E8" s="49" t="s">
        <v>94</v>
      </c>
      <c r="F8" s="54">
        <v>41731</v>
      </c>
      <c r="G8" s="56"/>
      <c r="H8" s="23"/>
    </row>
    <row r="9" spans="1:8" ht="12.75">
      <c r="A9" s="50"/>
      <c r="B9" s="51"/>
      <c r="C9" s="51"/>
      <c r="D9" s="51"/>
      <c r="E9" s="51"/>
      <c r="F9" s="51"/>
      <c r="G9" s="57"/>
      <c r="H9" s="23"/>
    </row>
    <row r="10" spans="1:8" ht="12.75">
      <c r="A10" s="32" t="s">
        <v>6</v>
      </c>
      <c r="B10" s="33" t="s">
        <v>32</v>
      </c>
      <c r="C10" s="33" t="s">
        <v>33</v>
      </c>
      <c r="D10" s="33" t="s">
        <v>63</v>
      </c>
      <c r="E10" s="33" t="s">
        <v>95</v>
      </c>
      <c r="F10" s="33" t="s">
        <v>133</v>
      </c>
      <c r="G10" s="40" t="s">
        <v>102</v>
      </c>
      <c r="H10" s="24"/>
    </row>
    <row r="11" spans="1:7" ht="12.75">
      <c r="A11" s="39"/>
      <c r="B11" s="39"/>
      <c r="C11" s="39"/>
      <c r="D11" s="39"/>
      <c r="E11" s="39"/>
      <c r="F11" s="39"/>
      <c r="G11" s="39"/>
    </row>
  </sheetData>
  <mergeCells count="17">
    <mergeCell ref="E8:E9"/>
    <mergeCell ref="F2:G3"/>
    <mergeCell ref="F4:G5"/>
    <mergeCell ref="F6:G7"/>
    <mergeCell ref="F8:G9"/>
    <mergeCell ref="A8:B9"/>
    <mergeCell ref="C2:D3"/>
    <mergeCell ref="C4:D5"/>
    <mergeCell ref="C6:D7"/>
    <mergeCell ref="C8:D9"/>
    <mergeCell ref="A1:G1"/>
    <mergeCell ref="A2:B3"/>
    <mergeCell ref="A4:B5"/>
    <mergeCell ref="A6:B7"/>
    <mergeCell ref="E2:E3"/>
    <mergeCell ref="E4:E5"/>
    <mergeCell ref="E6:E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¨</cp:lastModifiedBy>
  <dcterms:created xsi:type="dcterms:W3CDTF">2014-04-10T06:51:50Z</dcterms:created>
  <dcterms:modified xsi:type="dcterms:W3CDTF">2014-04-29T05:05:32Z</dcterms:modified>
  <cp:category/>
  <cp:version/>
  <cp:contentType/>
  <cp:contentStatus/>
</cp:coreProperties>
</file>