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tavební rozpočet" sheetId="1" r:id="rId1"/>
    <sheet name="Stavební rozpočet - součet" sheetId="2" r:id="rId2"/>
    <sheet name="Výkaz výměr" sheetId="3" r:id="rId3"/>
  </sheets>
  <definedNames/>
  <calcPr fullCalcOnLoad="1"/>
</workbook>
</file>

<file path=xl/sharedStrings.xml><?xml version="1.0" encoding="utf-8"?>
<sst xmlns="http://schemas.openxmlformats.org/spreadsheetml/2006/main" count="335" uniqueCount="197">
  <si>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</si>
  <si>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</si>
  <si>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</si>
  <si>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</si>
  <si>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</si>
  <si>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</si>
  <si>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</si>
  <si>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</si>
  <si>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</si>
  <si>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</si>
  <si>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</si>
  <si>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</si>
  <si>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</si>
  <si>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</si>
  <si>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</si>
  <si>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</si>
  <si>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</si>
  <si>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</si>
  <si>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</si>
  <si>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</si>
  <si>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</si>
  <si>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</si>
  <si>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</si>
  <si>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</si>
  <si>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</si>
  <si>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</si>
  <si>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</si>
  <si>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</si>
  <si>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</si>
  <si>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</si>
  <si>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</si>
  <si>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</si>
  <si>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</si>
  <si>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</si>
  <si>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</si>
  <si>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</si>
  <si>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</si>
  <si>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</si>
  <si>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</si>
  <si>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</si>
  <si>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</si>
  <si>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</si>
  <si>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</si>
  <si>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</si>
  <si>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</si>
  <si>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</si>
  <si>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</si>
  <si>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</si>
  <si>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</si>
  <si>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</si>
  <si>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</si>
  <si>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</si>
  <si>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Objekt</t>
  </si>
  <si>
    <t>Kód</t>
  </si>
  <si>
    <t>721</t>
  </si>
  <si>
    <t>721100902R00</t>
  </si>
  <si>
    <t>721100911R00</t>
  </si>
  <si>
    <t>721140802R00</t>
  </si>
  <si>
    <t>721170955R00</t>
  </si>
  <si>
    <t>721170952R00</t>
  </si>
  <si>
    <t>721194105R00</t>
  </si>
  <si>
    <t>721194109R00</t>
  </si>
  <si>
    <t>721300912R00</t>
  </si>
  <si>
    <t>722</t>
  </si>
  <si>
    <t>722172331R00</t>
  </si>
  <si>
    <t>722172311R00</t>
  </si>
  <si>
    <t>722181113R00</t>
  </si>
  <si>
    <t>722190401R00</t>
  </si>
  <si>
    <t>722220111R00</t>
  </si>
  <si>
    <t>722229101R00</t>
  </si>
  <si>
    <t>722290226R00</t>
  </si>
  <si>
    <t>725</t>
  </si>
  <si>
    <t>725210821R00</t>
  </si>
  <si>
    <t>725220831R00</t>
  </si>
  <si>
    <t>725249103R00</t>
  </si>
  <si>
    <t>725860107R00</t>
  </si>
  <si>
    <t>725860109R00</t>
  </si>
  <si>
    <t>725012181R00</t>
  </si>
  <si>
    <t>725016101R00</t>
  </si>
  <si>
    <t>725017130R00</t>
  </si>
  <si>
    <t>725017134R00</t>
  </si>
  <si>
    <t>725110811R00</t>
  </si>
  <si>
    <t>725111241R00</t>
  </si>
  <si>
    <t>725119105R00</t>
  </si>
  <si>
    <t>725119205R00</t>
  </si>
  <si>
    <t>725129201R00</t>
  </si>
  <si>
    <t>725130818R00</t>
  </si>
  <si>
    <t>725224136R00</t>
  </si>
  <si>
    <t>725229102R00</t>
  </si>
  <si>
    <t>725810402R00</t>
  </si>
  <si>
    <t>725829201RT1</t>
  </si>
  <si>
    <t>725829301RT2</t>
  </si>
  <si>
    <t>725849302R00</t>
  </si>
  <si>
    <t>725860223RT1</t>
  </si>
  <si>
    <t>725980113R00</t>
  </si>
  <si>
    <t>725330913R00</t>
  </si>
  <si>
    <t>725311927R00</t>
  </si>
  <si>
    <t>725590811R00</t>
  </si>
  <si>
    <t>90</t>
  </si>
  <si>
    <t>900      R01</t>
  </si>
  <si>
    <t>97</t>
  </si>
  <si>
    <t>971028451R00</t>
  </si>
  <si>
    <t>974042557R00</t>
  </si>
  <si>
    <t>soc.zař_školka_1np_2np</t>
  </si>
  <si>
    <t>Zkrácený popis</t>
  </si>
  <si>
    <t>Vnitřní kanalizace</t>
  </si>
  <si>
    <t>Oprava - přetěsnění hrdla odpadního potrubí DN 100</t>
  </si>
  <si>
    <t>Oprava - zazátkování hrdla kanalizačního potrubí</t>
  </si>
  <si>
    <t>Demontáž potrubí litinového DN 100</t>
  </si>
  <si>
    <t>Vyvedení odpadních výpustek D 50 x 1,8</t>
  </si>
  <si>
    <t>Vyvedení odpadních výpustek D 110 x 2,3</t>
  </si>
  <si>
    <t>Pročištění svislých odpadů, jedno podl., do DN 200</t>
  </si>
  <si>
    <t>Vnitřní vodovod</t>
  </si>
  <si>
    <t>Potrubí z PPR Instaplast, teplá, D 20/3,4 mm</t>
  </si>
  <si>
    <t>Potrubí z PPR Instaplast, studená, D 20/2,8 mm</t>
  </si>
  <si>
    <t>Ochrana potrubí plstěnými pásy DN 25</t>
  </si>
  <si>
    <t>Vyvedení a upevnění výpustek DN 15</t>
  </si>
  <si>
    <t>Nástěnka K 247, pro výtokový ventil G 1/2</t>
  </si>
  <si>
    <t>Montáž vodovodních armatur,1závit, G 1/2</t>
  </si>
  <si>
    <t>Zkouška tlaku potrubí závitového DN 50</t>
  </si>
  <si>
    <t>Zařizovací předměty</t>
  </si>
  <si>
    <t>Demontáž umyvadel</t>
  </si>
  <si>
    <t>Demontáž sprch.koutu</t>
  </si>
  <si>
    <t>Montáž sprchových koutů</t>
  </si>
  <si>
    <t>Uzávěrka zápachová umyvadlová T 1015,D 40</t>
  </si>
  <si>
    <t>Uzávěrka zápachová pisoár</t>
  </si>
  <si>
    <t>Klozet bez nádrže BABY 2703.7 + sedátko, bílý</t>
  </si>
  <si>
    <t>Pisoár DOMINO 4110.0 bez otvoru pro ventil, bílý</t>
  </si>
  <si>
    <t>Umyvadlo na šrouby OLYMP 1064.2, 60 cm, bílé</t>
  </si>
  <si>
    <t>Demontáž klozetů splachovacích</t>
  </si>
  <si>
    <t>Nádrž splachovací JUNIOR JET vysokopolož.6 l, bílá</t>
  </si>
  <si>
    <t>Montáž splachovacích nádrží</t>
  </si>
  <si>
    <t>Montáž klozetových mís</t>
  </si>
  <si>
    <t>Montáž pisoárového záchodku bez nádrže</t>
  </si>
  <si>
    <t>Splachovač pisoáru tlakový</t>
  </si>
  <si>
    <t>Ventil rohový bez přípoj. trubičky TE 66 G 1/2</t>
  </si>
  <si>
    <t>Montáž baterie strch. nástěnné chromové</t>
  </si>
  <si>
    <t>Montáž baterie umyv. stojánkové</t>
  </si>
  <si>
    <t>Montáž držáku sprchy</t>
  </si>
  <si>
    <t>Sifon ke sprchové vaničce PP HL511, DN 50</t>
  </si>
  <si>
    <t>Dvířka vanová 300 x 300 mm</t>
  </si>
  <si>
    <t>Výměna výlevky diturvitové č.5104.6 MIRA</t>
  </si>
  <si>
    <t>Ventil termost.ESBE třícestný</t>
  </si>
  <si>
    <t>Montáž baterie pro výlevku</t>
  </si>
  <si>
    <t>Přesun hmot, zařizovací předměty H 6 m</t>
  </si>
  <si>
    <t>Hodinové zúčtovací sazby (HZS)</t>
  </si>
  <si>
    <t>hr.zaom.rých a otvorů po vodoinst.</t>
  </si>
  <si>
    <t>Prorážení otvorů a ostatní bourací práce</t>
  </si>
  <si>
    <t>Vybourání otvorů zeď smíš. pl. 0,25 m2, tl. 45 cm</t>
  </si>
  <si>
    <t>Vysekání rýh betonová, monolitická dlažba 10x30 cm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</si>
  <si>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</si>
  <si>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</si>
  <si>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</si>
  <si>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</si>
  <si>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</si>
  <si>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</si>
  <si>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</si>
  <si>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soubor</t>
  </si>
  <si>
    <t>t</t>
  </si>
  <si>
    <t>hod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</si>
  <si>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</si>
  <si>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</si>
  <si>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</si>
  <si>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</si>
  <si>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</si>
  <si>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</si>
  <si>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</si>
  <si>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</si>
  <si>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</si>
  <si>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</si>
  <si>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</si>
  <si>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</si>
  <si>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</si>
  <si>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</si>
  <si>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</si>
  <si>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PS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</si>
  <si>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</si>
  <si>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</si>
  <si>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</si>
  <si>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</si>
  <si>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</si>
  <si>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</si>
  <si>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</si>
  <si>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</si>
  <si>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</si>
  <si>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</si>
  <si>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</si>
  <si>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</si>
  <si>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</si>
  <si>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</si>
  <si>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</si>
  <si>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</si>
  <si>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Sprchový kout - zástěna</t>
  </si>
  <si>
    <t>Sprchový kout - vanička</t>
  </si>
  <si>
    <t>vsazení odbočky, potrubí PVC hrdlové-výlevka DN 110</t>
  </si>
  <si>
    <t>vsazení odbočky, potrubí PVC hrdlové-pisoár DN50</t>
  </si>
  <si>
    <t>Žlab umyvadl.pro MŠ 5x vývod pro stoj.baterii-um.mr.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</si>
</sst>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workbookViewId="0" topLeftCell="A19">
      <selection activeCell="I69" sqref="I69"/>
    </sheetView>
  </sheetViews>
  <sheetFormatPr defaultColWidth="9.140625" defaultRowHeight="12.75"/>
  <cols>
    <col min="1" max="1" width="3.7109375" style="0" customWidth="1"/>
    <col min="2" max="2" width="0.13671875" style="0" customWidth="1"/>
    <col min="3" max="3" width="13.28125" style="0" customWidth="1"/>
    <col min="4" max="4" width="44.8515625" style="0" customWidth="1"/>
    <col min="5" max="5" width="4.28125" style="0" customWidth="1"/>
    <col min="6" max="6" width="7.421875" style="0" customWidth="1"/>
    <col min="7" max="7" width="9.7109375" style="0" customWidth="1"/>
    <col min="8" max="8" width="10.421875" style="0" customWidth="1"/>
    <col min="10" max="10" width="10.28125" style="0" customWidth="1"/>
    <col min="11" max="11" width="6.140625" style="0" customWidth="1"/>
    <col min="12" max="12" width="7.0039062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64" t="s">
        <v>1</v>
      </c>
      <c r="B2" s="53"/>
      <c r="C2" s="53"/>
      <c r="D2" s="43" t="s">
        <v>103</v>
      </c>
      <c r="E2" s="52" t="s">
        <v>150</v>
      </c>
      <c r="F2" s="53"/>
      <c r="G2" s="52"/>
      <c r="H2" s="53"/>
      <c r="I2" s="52" t="s">
        <v>166</v>
      </c>
      <c r="J2" s="52"/>
      <c r="K2" s="53"/>
      <c r="L2" s="54"/>
      <c r="M2" s="23"/>
    </row>
    <row r="3" spans="1:13" ht="12.75">
      <c r="A3" s="65"/>
      <c r="B3" s="55"/>
      <c r="C3" s="55"/>
      <c r="D3" s="61"/>
      <c r="E3" s="55"/>
      <c r="F3" s="55"/>
      <c r="G3" s="55"/>
      <c r="H3" s="55"/>
      <c r="I3" s="55"/>
      <c r="J3" s="55"/>
      <c r="K3" s="55"/>
      <c r="L3" s="56"/>
      <c r="M3" s="23"/>
    </row>
    <row r="4" spans="1:13" ht="12.75">
      <c r="A4" s="59" t="s">
        <v>2</v>
      </c>
      <c r="B4" s="55"/>
      <c r="C4" s="55"/>
      <c r="D4" s="50"/>
      <c r="E4" s="50" t="s">
        <v>151</v>
      </c>
      <c r="F4" s="55"/>
      <c r="G4" s="58">
        <v>41731</v>
      </c>
      <c r="H4" s="55"/>
      <c r="I4" s="50" t="s">
        <v>167</v>
      </c>
      <c r="J4" s="50"/>
      <c r="K4" s="55"/>
      <c r="L4" s="56"/>
      <c r="M4" s="23"/>
    </row>
    <row r="5" spans="1:13" ht="12.75">
      <c r="A5" s="65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23"/>
    </row>
    <row r="6" spans="1:13" ht="12.75">
      <c r="A6" s="59" t="s">
        <v>3</v>
      </c>
      <c r="B6" s="55"/>
      <c r="C6" s="55"/>
      <c r="D6" s="50"/>
      <c r="E6" s="50" t="s">
        <v>152</v>
      </c>
      <c r="F6" s="55"/>
      <c r="G6" s="55"/>
      <c r="H6" s="55"/>
      <c r="I6" s="50" t="s">
        <v>168</v>
      </c>
      <c r="J6" s="50"/>
      <c r="K6" s="55"/>
      <c r="L6" s="56"/>
      <c r="M6" s="23"/>
    </row>
    <row r="7" spans="1:13" ht="12.75">
      <c r="A7" s="65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23"/>
    </row>
    <row r="8" spans="1:13" ht="12.75">
      <c r="A8" s="59" t="s">
        <v>4</v>
      </c>
      <c r="B8" s="55"/>
      <c r="C8" s="55"/>
      <c r="D8" s="50"/>
      <c r="E8" s="50" t="s">
        <v>153</v>
      </c>
      <c r="F8" s="55"/>
      <c r="G8" s="58">
        <v>41731</v>
      </c>
      <c r="H8" s="55"/>
      <c r="I8" s="50" t="s">
        <v>169</v>
      </c>
      <c r="J8" s="50"/>
      <c r="K8" s="55"/>
      <c r="L8" s="56"/>
      <c r="M8" s="23"/>
    </row>
    <row r="9" spans="1:13" ht="12.75">
      <c r="A9" s="60"/>
      <c r="B9" s="51"/>
      <c r="C9" s="51"/>
      <c r="D9" s="51"/>
      <c r="E9" s="51"/>
      <c r="F9" s="51"/>
      <c r="G9" s="51"/>
      <c r="H9" s="51"/>
      <c r="I9" s="51"/>
      <c r="J9" s="51"/>
      <c r="K9" s="51"/>
      <c r="L9" s="57"/>
      <c r="M9" s="23"/>
    </row>
    <row r="10" spans="1:13" ht="12.75">
      <c r="A10" s="2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6" t="s">
        <v>161</v>
      </c>
      <c r="H10" s="45" t="s">
        <v>163</v>
      </c>
      <c r="I10" s="46"/>
      <c r="J10" s="47"/>
      <c r="K10" s="45" t="s">
        <v>172</v>
      </c>
      <c r="L10" s="47"/>
      <c r="M10" s="24"/>
    </row>
    <row r="11" spans="1:24" ht="12.75">
      <c r="A11" s="3" t="s">
        <v>6</v>
      </c>
      <c r="B11" s="10" t="s">
        <v>52</v>
      </c>
      <c r="C11" s="10" t="s">
        <v>53</v>
      </c>
      <c r="D11" s="10" t="s">
        <v>104</v>
      </c>
      <c r="E11" s="10" t="s">
        <v>154</v>
      </c>
      <c r="F11" s="13" t="s">
        <v>160</v>
      </c>
      <c r="G11" s="17" t="s">
        <v>162</v>
      </c>
      <c r="H11" s="18" t="s">
        <v>164</v>
      </c>
      <c r="I11" s="19" t="s">
        <v>170</v>
      </c>
      <c r="J11" s="20" t="s">
        <v>171</v>
      </c>
      <c r="K11" s="18" t="s">
        <v>161</v>
      </c>
      <c r="L11" s="20" t="s">
        <v>171</v>
      </c>
      <c r="M11" s="24"/>
      <c r="P11" s="22" t="s">
        <v>173</v>
      </c>
      <c r="Q11" s="22" t="s">
        <v>174</v>
      </c>
      <c r="R11" s="22" t="s">
        <v>177</v>
      </c>
      <c r="S11" s="22" t="s">
        <v>178</v>
      </c>
      <c r="T11" s="22" t="s">
        <v>179</v>
      </c>
      <c r="U11" s="22" t="s">
        <v>180</v>
      </c>
      <c r="V11" s="22" t="s">
        <v>181</v>
      </c>
      <c r="W11" s="22" t="s">
        <v>182</v>
      </c>
      <c r="X11" s="22" t="s">
        <v>183</v>
      </c>
    </row>
    <row r="12" spans="1:37" ht="12.75">
      <c r="A12" s="4"/>
      <c r="B12" s="4"/>
      <c r="C12" s="11" t="s">
        <v>54</v>
      </c>
      <c r="D12" s="48" t="s">
        <v>105</v>
      </c>
      <c r="E12" s="49"/>
      <c r="F12" s="49"/>
      <c r="G12" s="49"/>
      <c r="H12" s="26">
        <f>SUM(H13:H20)</f>
        <v>0</v>
      </c>
      <c r="I12" s="26">
        <f>SUM(I13:I20)</f>
        <v>0</v>
      </c>
      <c r="J12" s="26">
        <f>H12+I12</f>
        <v>0</v>
      </c>
      <c r="K12" s="21"/>
      <c r="L12" s="26">
        <f>SUM(L13:L20)</f>
        <v>0.08307999999999999</v>
      </c>
      <c r="P12" s="27">
        <f>IF(Q12="PR",J12,SUM(O13:O20))</f>
        <v>0</v>
      </c>
      <c r="Q12" s="22" t="s">
        <v>175</v>
      </c>
      <c r="R12" s="27">
        <f>IF(Q12="HS",H12,0)</f>
        <v>0</v>
      </c>
      <c r="S12" s="27">
        <f>IF(Q12="HS",I12-P12,0)</f>
        <v>0</v>
      </c>
      <c r="T12" s="27">
        <f>IF(Q12="PS",H12,0)</f>
        <v>0</v>
      </c>
      <c r="U12" s="27">
        <f>IF(Q12="PS",I12-P12,0)</f>
        <v>0</v>
      </c>
      <c r="V12" s="27">
        <f>IF(Q12="MP",H12,0)</f>
        <v>0</v>
      </c>
      <c r="W12" s="27">
        <f>IF(Q12="MP",I12-P12,0)</f>
        <v>0</v>
      </c>
      <c r="X12" s="27">
        <f>IF(Q12="OM",H12,0)</f>
        <v>0</v>
      </c>
      <c r="Y12" s="22"/>
      <c r="AI12" s="27">
        <f>SUM(Z13:Z20)</f>
        <v>0</v>
      </c>
      <c r="AJ12" s="27">
        <f>SUM(AA13:AA20)</f>
        <v>0</v>
      </c>
      <c r="AK12" s="27">
        <f>SUM(AB13:AB20)</f>
        <v>0</v>
      </c>
    </row>
    <row r="13" spans="1:32" ht="12.75">
      <c r="A13" s="5" t="s">
        <v>7</v>
      </c>
      <c r="B13" s="5"/>
      <c r="C13" s="5" t="s">
        <v>55</v>
      </c>
      <c r="D13" s="5" t="s">
        <v>106</v>
      </c>
      <c r="E13" s="5" t="s">
        <v>155</v>
      </c>
      <c r="F13" s="14">
        <v>2</v>
      </c>
      <c r="G13" s="14"/>
      <c r="H13" s="14">
        <f aca="true" t="shared" si="0" ref="H13:H20">ROUND(F13*AE13,2)</f>
        <v>0</v>
      </c>
      <c r="I13" s="14">
        <f aca="true" t="shared" si="1" ref="I13:I20">J13-H13</f>
        <v>0</v>
      </c>
      <c r="J13" s="14">
        <f aca="true" t="shared" si="2" ref="J13:J20">ROUND(F13*G13,2)</f>
        <v>0</v>
      </c>
      <c r="K13" s="14">
        <v>0.00042</v>
      </c>
      <c r="L13" s="14">
        <f aca="true" t="shared" si="3" ref="L13:L20">F13*K13</f>
        <v>0.00084</v>
      </c>
      <c r="N13" s="25" t="s">
        <v>7</v>
      </c>
      <c r="O13" s="14">
        <f aca="true" t="shared" si="4" ref="O13:O20">IF(N13="5",I13,0)</f>
        <v>0</v>
      </c>
      <c r="Z13" s="14">
        <f aca="true" t="shared" si="5" ref="Z13:Z20">IF(AD13=0,J13,0)</f>
        <v>0</v>
      </c>
      <c r="AA13" s="14">
        <f aca="true" t="shared" si="6" ref="AA13:AA20">IF(AD13=10,J13,0)</f>
        <v>0</v>
      </c>
      <c r="AB13" s="14">
        <f aca="true" t="shared" si="7" ref="AB13:AB20">IF(AD13=20,J13,0)</f>
        <v>0</v>
      </c>
      <c r="AD13" s="14">
        <v>10</v>
      </c>
      <c r="AE13" s="14">
        <f>G13*0.0538705950317735</f>
        <v>0</v>
      </c>
      <c r="AF13" s="14">
        <f>G13*(1-0.0538705950317735)</f>
        <v>0</v>
      </c>
    </row>
    <row r="14" spans="1:32" ht="12.75">
      <c r="A14" s="5" t="s">
        <v>8</v>
      </c>
      <c r="B14" s="5"/>
      <c r="C14" s="5" t="s">
        <v>56</v>
      </c>
      <c r="D14" s="5" t="s">
        <v>107</v>
      </c>
      <c r="E14" s="5" t="s">
        <v>155</v>
      </c>
      <c r="F14" s="14">
        <v>2</v>
      </c>
      <c r="G14" s="14"/>
      <c r="H14" s="14">
        <f t="shared" si="0"/>
        <v>0</v>
      </c>
      <c r="I14" s="14">
        <f t="shared" si="1"/>
        <v>0</v>
      </c>
      <c r="J14" s="14">
        <f t="shared" si="2"/>
        <v>0</v>
      </c>
      <c r="K14" s="14">
        <v>0.00891</v>
      </c>
      <c r="L14" s="14">
        <f t="shared" si="3"/>
        <v>0.01782</v>
      </c>
      <c r="N14" s="25" t="s">
        <v>7</v>
      </c>
      <c r="O14" s="14">
        <f t="shared" si="4"/>
        <v>0</v>
      </c>
      <c r="Z14" s="14">
        <f t="shared" si="5"/>
        <v>0</v>
      </c>
      <c r="AA14" s="14">
        <f t="shared" si="6"/>
        <v>0</v>
      </c>
      <c r="AB14" s="14">
        <f t="shared" si="7"/>
        <v>0</v>
      </c>
      <c r="AD14" s="14">
        <v>10</v>
      </c>
      <c r="AE14" s="14">
        <f>G14*0.78724380814518</f>
        <v>0</v>
      </c>
      <c r="AF14" s="14">
        <f>G14*(1-0.78724380814518)</f>
        <v>0</v>
      </c>
    </row>
    <row r="15" spans="1:32" ht="12.75">
      <c r="A15" s="5" t="s">
        <v>9</v>
      </c>
      <c r="B15" s="5"/>
      <c r="C15" s="5" t="s">
        <v>57</v>
      </c>
      <c r="D15" s="5" t="s">
        <v>108</v>
      </c>
      <c r="E15" s="5" t="s">
        <v>156</v>
      </c>
      <c r="F15" s="14">
        <v>1.5</v>
      </c>
      <c r="G15" s="14"/>
      <c r="H15" s="14">
        <f t="shared" si="0"/>
        <v>0</v>
      </c>
      <c r="I15" s="14">
        <f t="shared" si="1"/>
        <v>0</v>
      </c>
      <c r="J15" s="14">
        <f t="shared" si="2"/>
        <v>0</v>
      </c>
      <c r="K15" s="14">
        <v>0.01492</v>
      </c>
      <c r="L15" s="14">
        <f t="shared" si="3"/>
        <v>0.022379999999999997</v>
      </c>
      <c r="N15" s="25" t="s">
        <v>7</v>
      </c>
      <c r="O15" s="14">
        <f t="shared" si="4"/>
        <v>0</v>
      </c>
      <c r="Z15" s="14">
        <f t="shared" si="5"/>
        <v>0</v>
      </c>
      <c r="AA15" s="14">
        <f t="shared" si="6"/>
        <v>0</v>
      </c>
      <c r="AB15" s="14">
        <f t="shared" si="7"/>
        <v>0</v>
      </c>
      <c r="AD15" s="14">
        <v>10</v>
      </c>
      <c r="AE15" s="14">
        <f>G15*0</f>
        <v>0</v>
      </c>
      <c r="AF15" s="14">
        <f>G15*(1-0)</f>
        <v>0</v>
      </c>
    </row>
    <row r="16" spans="1:32" ht="12.75">
      <c r="A16" s="5" t="s">
        <v>10</v>
      </c>
      <c r="B16" s="5"/>
      <c r="C16" s="5" t="s">
        <v>58</v>
      </c>
      <c r="D16" s="5" t="s">
        <v>194</v>
      </c>
      <c r="E16" s="5" t="s">
        <v>155</v>
      </c>
      <c r="F16" s="14">
        <v>2</v>
      </c>
      <c r="G16" s="14"/>
      <c r="H16" s="14">
        <f t="shared" si="0"/>
        <v>0</v>
      </c>
      <c r="I16" s="14">
        <f t="shared" si="1"/>
        <v>0</v>
      </c>
      <c r="J16" s="14">
        <f t="shared" si="2"/>
        <v>0</v>
      </c>
      <c r="K16" s="14">
        <v>0.01308</v>
      </c>
      <c r="L16" s="14">
        <f t="shared" si="3"/>
        <v>0.02616</v>
      </c>
      <c r="N16" s="25" t="s">
        <v>7</v>
      </c>
      <c r="O16" s="14">
        <f t="shared" si="4"/>
        <v>0</v>
      </c>
      <c r="Z16" s="14">
        <f t="shared" si="5"/>
        <v>0</v>
      </c>
      <c r="AA16" s="14">
        <f t="shared" si="6"/>
        <v>0</v>
      </c>
      <c r="AB16" s="14">
        <f t="shared" si="7"/>
        <v>0</v>
      </c>
      <c r="AD16" s="14">
        <v>10</v>
      </c>
      <c r="AE16" s="14">
        <f>G16*0.412925181528716</f>
        <v>0</v>
      </c>
      <c r="AF16" s="14">
        <f>G16*(1-0.412925181528716)</f>
        <v>0</v>
      </c>
    </row>
    <row r="17" spans="1:32" ht="12.75">
      <c r="A17" s="5" t="s">
        <v>11</v>
      </c>
      <c r="B17" s="5"/>
      <c r="C17" s="5" t="s">
        <v>59</v>
      </c>
      <c r="D17" s="5" t="s">
        <v>195</v>
      </c>
      <c r="E17" s="5" t="s">
        <v>155</v>
      </c>
      <c r="F17" s="14">
        <v>2</v>
      </c>
      <c r="G17" s="14"/>
      <c r="H17" s="14">
        <f t="shared" si="0"/>
        <v>0</v>
      </c>
      <c r="I17" s="14">
        <f t="shared" si="1"/>
        <v>0</v>
      </c>
      <c r="J17" s="14">
        <f t="shared" si="2"/>
        <v>0</v>
      </c>
      <c r="K17" s="14">
        <v>0.00794</v>
      </c>
      <c r="L17" s="14">
        <f t="shared" si="3"/>
        <v>0.01588</v>
      </c>
      <c r="N17" s="25" t="s">
        <v>7</v>
      </c>
      <c r="O17" s="14">
        <f t="shared" si="4"/>
        <v>0</v>
      </c>
      <c r="Z17" s="14">
        <f t="shared" si="5"/>
        <v>0</v>
      </c>
      <c r="AA17" s="14">
        <f t="shared" si="6"/>
        <v>0</v>
      </c>
      <c r="AB17" s="14">
        <f t="shared" si="7"/>
        <v>0</v>
      </c>
      <c r="AD17" s="14">
        <v>10</v>
      </c>
      <c r="AE17" s="14">
        <f>G17*0.325464438825987</f>
        <v>0</v>
      </c>
      <c r="AF17" s="14">
        <f>G17*(1-0.325464438825987)</f>
        <v>0</v>
      </c>
    </row>
    <row r="18" spans="1:32" ht="12.75">
      <c r="A18" s="5" t="s">
        <v>12</v>
      </c>
      <c r="B18" s="5"/>
      <c r="C18" s="5" t="s">
        <v>60</v>
      </c>
      <c r="D18" s="5" t="s">
        <v>109</v>
      </c>
      <c r="E18" s="5" t="s">
        <v>155</v>
      </c>
      <c r="F18" s="14">
        <v>4</v>
      </c>
      <c r="G18" s="14"/>
      <c r="H18" s="14">
        <f t="shared" si="0"/>
        <v>0</v>
      </c>
      <c r="I18" s="14">
        <f t="shared" si="1"/>
        <v>0</v>
      </c>
      <c r="J18" s="14">
        <f t="shared" si="2"/>
        <v>0</v>
      </c>
      <c r="K18" s="14">
        <v>0</v>
      </c>
      <c r="L18" s="14">
        <f t="shared" si="3"/>
        <v>0</v>
      </c>
      <c r="N18" s="25" t="s">
        <v>7</v>
      </c>
      <c r="O18" s="14">
        <f t="shared" si="4"/>
        <v>0</v>
      </c>
      <c r="Z18" s="14">
        <f t="shared" si="5"/>
        <v>0</v>
      </c>
      <c r="AA18" s="14">
        <f t="shared" si="6"/>
        <v>0</v>
      </c>
      <c r="AB18" s="14">
        <f t="shared" si="7"/>
        <v>0</v>
      </c>
      <c r="AD18" s="14">
        <v>10</v>
      </c>
      <c r="AE18" s="14">
        <f>G18*0</f>
        <v>0</v>
      </c>
      <c r="AF18" s="14">
        <f>G18*(1-0)</f>
        <v>0</v>
      </c>
    </row>
    <row r="19" spans="1:32" ht="12.75">
      <c r="A19" s="5" t="s">
        <v>13</v>
      </c>
      <c r="B19" s="5"/>
      <c r="C19" s="5" t="s">
        <v>61</v>
      </c>
      <c r="D19" s="5" t="s">
        <v>110</v>
      </c>
      <c r="E19" s="5" t="s">
        <v>155</v>
      </c>
      <c r="F19" s="14">
        <v>2</v>
      </c>
      <c r="G19" s="14"/>
      <c r="H19" s="14">
        <f t="shared" si="0"/>
        <v>0</v>
      </c>
      <c r="I19" s="14">
        <f t="shared" si="1"/>
        <v>0</v>
      </c>
      <c r="J19" s="14">
        <f t="shared" si="2"/>
        <v>0</v>
      </c>
      <c r="K19" s="14">
        <v>0</v>
      </c>
      <c r="L19" s="14">
        <f t="shared" si="3"/>
        <v>0</v>
      </c>
      <c r="N19" s="25" t="s">
        <v>7</v>
      </c>
      <c r="O19" s="14">
        <f t="shared" si="4"/>
        <v>0</v>
      </c>
      <c r="Z19" s="14">
        <f t="shared" si="5"/>
        <v>0</v>
      </c>
      <c r="AA19" s="14">
        <f t="shared" si="6"/>
        <v>0</v>
      </c>
      <c r="AB19" s="14">
        <f t="shared" si="7"/>
        <v>0</v>
      </c>
      <c r="AD19" s="14">
        <v>10</v>
      </c>
      <c r="AE19" s="14">
        <f>G19*0</f>
        <v>0</v>
      </c>
      <c r="AF19" s="14">
        <f>G19*(1-0)</f>
        <v>0</v>
      </c>
    </row>
    <row r="20" spans="1:32" ht="12.75">
      <c r="A20" s="5" t="s">
        <v>14</v>
      </c>
      <c r="B20" s="5"/>
      <c r="C20" s="5" t="s">
        <v>62</v>
      </c>
      <c r="D20" s="5" t="s">
        <v>111</v>
      </c>
      <c r="E20" s="5" t="s">
        <v>155</v>
      </c>
      <c r="F20" s="14">
        <v>2</v>
      </c>
      <c r="G20" s="14"/>
      <c r="H20" s="14">
        <f t="shared" si="0"/>
        <v>0</v>
      </c>
      <c r="I20" s="14">
        <f t="shared" si="1"/>
        <v>0</v>
      </c>
      <c r="J20" s="14">
        <f t="shared" si="2"/>
        <v>0</v>
      </c>
      <c r="K20" s="14">
        <v>0</v>
      </c>
      <c r="L20" s="14">
        <f t="shared" si="3"/>
        <v>0</v>
      </c>
      <c r="N20" s="25" t="s">
        <v>7</v>
      </c>
      <c r="O20" s="14">
        <f t="shared" si="4"/>
        <v>0</v>
      </c>
      <c r="Z20" s="14">
        <f t="shared" si="5"/>
        <v>0</v>
      </c>
      <c r="AA20" s="14">
        <f t="shared" si="6"/>
        <v>0</v>
      </c>
      <c r="AB20" s="14">
        <f t="shared" si="7"/>
        <v>0</v>
      </c>
      <c r="AD20" s="14">
        <v>10</v>
      </c>
      <c r="AE20" s="14">
        <f>G20*0</f>
        <v>0</v>
      </c>
      <c r="AF20" s="14">
        <f>G20*(1-0)</f>
        <v>0</v>
      </c>
    </row>
    <row r="21" spans="1:37" ht="12.75">
      <c r="A21" s="6"/>
      <c r="B21" s="6"/>
      <c r="C21" s="12" t="s">
        <v>63</v>
      </c>
      <c r="D21" s="41" t="s">
        <v>112</v>
      </c>
      <c r="E21" s="42"/>
      <c r="F21" s="42"/>
      <c r="G21" s="42"/>
      <c r="H21" s="27">
        <f>SUM(H22:H28)</f>
        <v>0</v>
      </c>
      <c r="I21" s="27">
        <f>SUM(I22:I28)</f>
        <v>0</v>
      </c>
      <c r="J21" s="27">
        <f>H21+I21</f>
        <v>0</v>
      </c>
      <c r="K21" s="22"/>
      <c r="L21" s="27">
        <f>SUM(L22:L28)</f>
        <v>0.39813</v>
      </c>
      <c r="P21" s="27">
        <f>IF(Q21="PR",J21,SUM(O22:O28))</f>
        <v>0</v>
      </c>
      <c r="Q21" s="22" t="s">
        <v>175</v>
      </c>
      <c r="R21" s="27">
        <f>IF(Q21="HS",H21,0)</f>
        <v>0</v>
      </c>
      <c r="S21" s="27">
        <f>IF(Q21="HS",I21-P21,0)</f>
        <v>0</v>
      </c>
      <c r="T21" s="27">
        <f>IF(Q21="PS",H21,0)</f>
        <v>0</v>
      </c>
      <c r="U21" s="27">
        <f>IF(Q21="PS",I21-P21,0)</f>
        <v>0</v>
      </c>
      <c r="V21" s="27">
        <f>IF(Q21="MP",H21,0)</f>
        <v>0</v>
      </c>
      <c r="W21" s="27">
        <f>IF(Q21="MP",I21-P21,0)</f>
        <v>0</v>
      </c>
      <c r="X21" s="27">
        <f>IF(Q21="OM",H21,0)</f>
        <v>0</v>
      </c>
      <c r="Y21" s="22"/>
      <c r="AI21" s="27">
        <f>SUM(Z22:Z28)</f>
        <v>0</v>
      </c>
      <c r="AJ21" s="27">
        <f>SUM(AA22:AA28)</f>
        <v>0</v>
      </c>
      <c r="AK21" s="27">
        <f>SUM(AB22:AB28)</f>
        <v>0</v>
      </c>
    </row>
    <row r="22" spans="1:32" ht="12.75">
      <c r="A22" s="5" t="s">
        <v>15</v>
      </c>
      <c r="B22" s="5"/>
      <c r="C22" s="5" t="s">
        <v>64</v>
      </c>
      <c r="D22" s="5" t="s">
        <v>113</v>
      </c>
      <c r="E22" s="5" t="s">
        <v>156</v>
      </c>
      <c r="F22" s="14">
        <v>44</v>
      </c>
      <c r="G22" s="14"/>
      <c r="H22" s="14">
        <f aca="true" t="shared" si="8" ref="H22:H28">ROUND(F22*AE22,2)</f>
        <v>0</v>
      </c>
      <c r="I22" s="14">
        <f aca="true" t="shared" si="9" ref="I22:I28">J22-H22</f>
        <v>0</v>
      </c>
      <c r="J22" s="14">
        <f aca="true" t="shared" si="10" ref="J22:J28">ROUND(F22*G22,2)</f>
        <v>0</v>
      </c>
      <c r="K22" s="14">
        <v>0.00402</v>
      </c>
      <c r="L22" s="14">
        <f aca="true" t="shared" si="11" ref="L22:L28">F22*K22</f>
        <v>0.17688</v>
      </c>
      <c r="N22" s="25" t="s">
        <v>7</v>
      </c>
      <c r="O22" s="14">
        <f aca="true" t="shared" si="12" ref="O22:O28">IF(N22="5",I22,0)</f>
        <v>0</v>
      </c>
      <c r="Z22" s="14">
        <f aca="true" t="shared" si="13" ref="Z22:Z28">IF(AD22=0,J22,0)</f>
        <v>0</v>
      </c>
      <c r="AA22" s="14">
        <f aca="true" t="shared" si="14" ref="AA22:AA28">IF(AD22=10,J22,0)</f>
        <v>0</v>
      </c>
      <c r="AB22" s="14">
        <f aca="true" t="shared" si="15" ref="AB22:AB28">IF(AD22=20,J22,0)</f>
        <v>0</v>
      </c>
      <c r="AD22" s="14">
        <v>10</v>
      </c>
      <c r="AE22" s="14">
        <f>G22*0.216684131395508</f>
        <v>0</v>
      </c>
      <c r="AF22" s="14">
        <f>G22*(1-0.216684131395508)</f>
        <v>0</v>
      </c>
    </row>
    <row r="23" spans="1:32" ht="12.75">
      <c r="A23" s="5" t="s">
        <v>16</v>
      </c>
      <c r="B23" s="5"/>
      <c r="C23" s="5" t="s">
        <v>65</v>
      </c>
      <c r="D23" s="5" t="s">
        <v>114</v>
      </c>
      <c r="E23" s="5" t="s">
        <v>156</v>
      </c>
      <c r="F23" s="14">
        <v>44</v>
      </c>
      <c r="G23" s="14"/>
      <c r="H23" s="14">
        <f t="shared" si="8"/>
        <v>0</v>
      </c>
      <c r="I23" s="14">
        <f t="shared" si="9"/>
        <v>0</v>
      </c>
      <c r="J23" s="14">
        <f t="shared" si="10"/>
        <v>0</v>
      </c>
      <c r="K23" s="14">
        <v>0.004</v>
      </c>
      <c r="L23" s="14">
        <f t="shared" si="11"/>
        <v>0.176</v>
      </c>
      <c r="N23" s="25" t="s">
        <v>7</v>
      </c>
      <c r="O23" s="14">
        <f t="shared" si="12"/>
        <v>0</v>
      </c>
      <c r="Z23" s="14">
        <f t="shared" si="13"/>
        <v>0</v>
      </c>
      <c r="AA23" s="14">
        <f t="shared" si="14"/>
        <v>0</v>
      </c>
      <c r="AB23" s="14">
        <f t="shared" si="15"/>
        <v>0</v>
      </c>
      <c r="AD23" s="14">
        <v>10</v>
      </c>
      <c r="AE23" s="14">
        <f>G23*0.204947976878613</f>
        <v>0</v>
      </c>
      <c r="AF23" s="14">
        <f>G23*(1-0.204947976878613)</f>
        <v>0</v>
      </c>
    </row>
    <row r="24" spans="1:32" ht="12.75">
      <c r="A24" s="5" t="s">
        <v>17</v>
      </c>
      <c r="B24" s="5"/>
      <c r="C24" s="5" t="s">
        <v>66</v>
      </c>
      <c r="D24" s="5" t="s">
        <v>115</v>
      </c>
      <c r="E24" s="5" t="s">
        <v>156</v>
      </c>
      <c r="F24" s="14">
        <v>88</v>
      </c>
      <c r="G24" s="14"/>
      <c r="H24" s="14">
        <f t="shared" si="8"/>
        <v>0</v>
      </c>
      <c r="I24" s="14">
        <f t="shared" si="9"/>
        <v>0</v>
      </c>
      <c r="J24" s="14">
        <f t="shared" si="10"/>
        <v>0</v>
      </c>
      <c r="K24" s="14">
        <v>0.00016</v>
      </c>
      <c r="L24" s="14">
        <f t="shared" si="11"/>
        <v>0.01408</v>
      </c>
      <c r="N24" s="25" t="s">
        <v>7</v>
      </c>
      <c r="O24" s="14">
        <f t="shared" si="12"/>
        <v>0</v>
      </c>
      <c r="Z24" s="14">
        <f t="shared" si="13"/>
        <v>0</v>
      </c>
      <c r="AA24" s="14">
        <f t="shared" si="14"/>
        <v>0</v>
      </c>
      <c r="AB24" s="14">
        <f t="shared" si="15"/>
        <v>0</v>
      </c>
      <c r="AD24" s="14">
        <v>10</v>
      </c>
      <c r="AE24" s="14">
        <f>G24*0.524353577871317</f>
        <v>0</v>
      </c>
      <c r="AF24" s="14">
        <f>G24*(1-0.524353577871317)</f>
        <v>0</v>
      </c>
    </row>
    <row r="25" spans="1:32" ht="12.75">
      <c r="A25" s="5" t="s">
        <v>18</v>
      </c>
      <c r="B25" s="5"/>
      <c r="C25" s="5" t="s">
        <v>67</v>
      </c>
      <c r="D25" s="5" t="s">
        <v>116</v>
      </c>
      <c r="E25" s="5" t="s">
        <v>155</v>
      </c>
      <c r="F25" s="14">
        <v>21</v>
      </c>
      <c r="G25" s="14"/>
      <c r="H25" s="14">
        <f t="shared" si="8"/>
        <v>0</v>
      </c>
      <c r="I25" s="14">
        <f t="shared" si="9"/>
        <v>0</v>
      </c>
      <c r="J25" s="14">
        <f t="shared" si="10"/>
        <v>0</v>
      </c>
      <c r="K25" s="14">
        <v>0</v>
      </c>
      <c r="L25" s="14">
        <f t="shared" si="11"/>
        <v>0</v>
      </c>
      <c r="N25" s="25" t="s">
        <v>7</v>
      </c>
      <c r="O25" s="14">
        <f t="shared" si="12"/>
        <v>0</v>
      </c>
      <c r="Z25" s="14">
        <f t="shared" si="13"/>
        <v>0</v>
      </c>
      <c r="AA25" s="14">
        <f t="shared" si="14"/>
        <v>0</v>
      </c>
      <c r="AB25" s="14">
        <f t="shared" si="15"/>
        <v>0</v>
      </c>
      <c r="AD25" s="14">
        <v>10</v>
      </c>
      <c r="AE25" s="14">
        <f>G25*0</f>
        <v>0</v>
      </c>
      <c r="AF25" s="14">
        <f>G25*(1-0)</f>
        <v>0</v>
      </c>
    </row>
    <row r="26" spans="1:32" ht="12.75">
      <c r="A26" s="5" t="s">
        <v>19</v>
      </c>
      <c r="B26" s="5"/>
      <c r="C26" s="5" t="s">
        <v>68</v>
      </c>
      <c r="D26" s="5" t="s">
        <v>117</v>
      </c>
      <c r="E26" s="5" t="s">
        <v>155</v>
      </c>
      <c r="F26" s="14">
        <v>21</v>
      </c>
      <c r="G26" s="14"/>
      <c r="H26" s="14">
        <f t="shared" si="8"/>
        <v>0</v>
      </c>
      <c r="I26" s="14">
        <f t="shared" si="9"/>
        <v>0</v>
      </c>
      <c r="J26" s="14">
        <f t="shared" si="10"/>
        <v>0</v>
      </c>
      <c r="K26" s="14">
        <v>0.00067</v>
      </c>
      <c r="L26" s="14">
        <f t="shared" si="11"/>
        <v>0.014070000000000001</v>
      </c>
      <c r="N26" s="25" t="s">
        <v>7</v>
      </c>
      <c r="O26" s="14">
        <f t="shared" si="12"/>
        <v>0</v>
      </c>
      <c r="Z26" s="14">
        <f t="shared" si="13"/>
        <v>0</v>
      </c>
      <c r="AA26" s="14">
        <f t="shared" si="14"/>
        <v>0</v>
      </c>
      <c r="AB26" s="14">
        <f t="shared" si="15"/>
        <v>0</v>
      </c>
      <c r="AD26" s="14">
        <v>10</v>
      </c>
      <c r="AE26" s="14">
        <f>G26*0.460865234097054</f>
        <v>0</v>
      </c>
      <c r="AF26" s="14">
        <f>G26*(1-0.460865234097054)</f>
        <v>0</v>
      </c>
    </row>
    <row r="27" spans="1:32" ht="12.75">
      <c r="A27" s="5" t="s">
        <v>20</v>
      </c>
      <c r="B27" s="5"/>
      <c r="C27" s="5" t="s">
        <v>69</v>
      </c>
      <c r="D27" s="5" t="s">
        <v>118</v>
      </c>
      <c r="E27" s="5" t="s">
        <v>155</v>
      </c>
      <c r="F27" s="14">
        <v>21</v>
      </c>
      <c r="G27" s="14"/>
      <c r="H27" s="14">
        <f t="shared" si="8"/>
        <v>0</v>
      </c>
      <c r="I27" s="14">
        <f t="shared" si="9"/>
        <v>0</v>
      </c>
      <c r="J27" s="14">
        <f t="shared" si="10"/>
        <v>0</v>
      </c>
      <c r="K27" s="14">
        <v>6E-05</v>
      </c>
      <c r="L27" s="14">
        <f t="shared" si="11"/>
        <v>0.00126</v>
      </c>
      <c r="N27" s="25" t="s">
        <v>7</v>
      </c>
      <c r="O27" s="14">
        <f t="shared" si="12"/>
        <v>0</v>
      </c>
      <c r="Z27" s="14">
        <f t="shared" si="13"/>
        <v>0</v>
      </c>
      <c r="AA27" s="14">
        <f t="shared" si="14"/>
        <v>0</v>
      </c>
      <c r="AB27" s="14">
        <f t="shared" si="15"/>
        <v>0</v>
      </c>
      <c r="AD27" s="14">
        <v>10</v>
      </c>
      <c r="AE27" s="14">
        <f>G27*0.405952074207678</f>
        <v>0</v>
      </c>
      <c r="AF27" s="14">
        <f>G27*(1-0.405952074207678)</f>
        <v>0</v>
      </c>
    </row>
    <row r="28" spans="1:32" ht="12.75">
      <c r="A28" s="5" t="s">
        <v>21</v>
      </c>
      <c r="B28" s="5"/>
      <c r="C28" s="5" t="s">
        <v>70</v>
      </c>
      <c r="D28" s="5" t="s">
        <v>119</v>
      </c>
      <c r="E28" s="5" t="s">
        <v>156</v>
      </c>
      <c r="F28" s="14">
        <v>88</v>
      </c>
      <c r="G28" s="14"/>
      <c r="H28" s="14">
        <f t="shared" si="8"/>
        <v>0</v>
      </c>
      <c r="I28" s="14">
        <f t="shared" si="9"/>
        <v>0</v>
      </c>
      <c r="J28" s="14">
        <f t="shared" si="10"/>
        <v>0</v>
      </c>
      <c r="K28" s="14">
        <v>0.00018</v>
      </c>
      <c r="L28" s="14">
        <f t="shared" si="11"/>
        <v>0.01584</v>
      </c>
      <c r="N28" s="25" t="s">
        <v>7</v>
      </c>
      <c r="O28" s="14">
        <f t="shared" si="12"/>
        <v>0</v>
      </c>
      <c r="Z28" s="14">
        <f t="shared" si="13"/>
        <v>0</v>
      </c>
      <c r="AA28" s="14">
        <f t="shared" si="14"/>
        <v>0</v>
      </c>
      <c r="AB28" s="14">
        <f t="shared" si="15"/>
        <v>0</v>
      </c>
      <c r="AD28" s="14">
        <v>10</v>
      </c>
      <c r="AE28" s="14">
        <f>G28*0.273655752478222</f>
        <v>0</v>
      </c>
      <c r="AF28" s="14">
        <f>G28*(1-0.273655752478222)</f>
        <v>0</v>
      </c>
    </row>
    <row r="29" spans="1:37" ht="12.75">
      <c r="A29" s="6"/>
      <c r="B29" s="6"/>
      <c r="C29" s="12" t="s">
        <v>71</v>
      </c>
      <c r="D29" s="41" t="s">
        <v>120</v>
      </c>
      <c r="E29" s="42"/>
      <c r="F29" s="42"/>
      <c r="G29" s="42"/>
      <c r="H29" s="27">
        <f>SUM(H30:H56)</f>
        <v>0</v>
      </c>
      <c r="I29" s="27">
        <f>SUM(I30:I56)</f>
        <v>0</v>
      </c>
      <c r="J29" s="27">
        <f>H29+I29</f>
        <v>0</v>
      </c>
      <c r="K29" s="22"/>
      <c r="L29" s="27">
        <f>SUM(L30:L56)</f>
        <v>2.194949999999999</v>
      </c>
      <c r="P29" s="27">
        <f>IF(Q29="PR",J29,SUM(O30:O56))</f>
        <v>0</v>
      </c>
      <c r="Q29" s="22" t="s">
        <v>175</v>
      </c>
      <c r="R29" s="27">
        <f>IF(Q29="HS",H29,0)</f>
        <v>0</v>
      </c>
      <c r="S29" s="27">
        <f>IF(Q29="HS",I29-P29,0)</f>
        <v>0</v>
      </c>
      <c r="T29" s="27">
        <f>IF(Q29="PS",H29,0)</f>
        <v>0</v>
      </c>
      <c r="U29" s="27">
        <f>IF(Q29="PS",I29-P29,0)</f>
        <v>0</v>
      </c>
      <c r="V29" s="27">
        <f>IF(Q29="MP",H29,0)</f>
        <v>0</v>
      </c>
      <c r="W29" s="27">
        <f>IF(Q29="MP",I29-P29,0)</f>
        <v>0</v>
      </c>
      <c r="X29" s="27">
        <f>IF(Q29="OM",H29,0)</f>
        <v>0</v>
      </c>
      <c r="Y29" s="22"/>
      <c r="AI29" s="27">
        <f>SUM(Z30:Z56)</f>
        <v>0</v>
      </c>
      <c r="AJ29" s="27">
        <f>SUM(AA30:AA56)</f>
        <v>0</v>
      </c>
      <c r="AK29" s="27">
        <f>SUM(AB30:AB56)</f>
        <v>0</v>
      </c>
    </row>
    <row r="30" spans="1:32" ht="12.75">
      <c r="A30" s="5" t="s">
        <v>22</v>
      </c>
      <c r="B30" s="5"/>
      <c r="C30" s="5" t="s">
        <v>72</v>
      </c>
      <c r="D30" s="5" t="s">
        <v>121</v>
      </c>
      <c r="E30" s="5" t="s">
        <v>157</v>
      </c>
      <c r="F30" s="14">
        <v>14</v>
      </c>
      <c r="G30" s="14"/>
      <c r="H30" s="14">
        <f aca="true" t="shared" si="16" ref="H30:H56">ROUND(F30*AE30,2)</f>
        <v>0</v>
      </c>
      <c r="I30" s="14">
        <f aca="true" t="shared" si="17" ref="I30:I56">J30-H30</f>
        <v>0</v>
      </c>
      <c r="J30" s="14">
        <f aca="true" t="shared" si="18" ref="J30:J56">ROUND(F30*G30,2)</f>
        <v>0</v>
      </c>
      <c r="K30" s="14">
        <v>0.01946</v>
      </c>
      <c r="L30" s="14">
        <f aca="true" t="shared" si="19" ref="L30:L56">F30*K30</f>
        <v>0.27244</v>
      </c>
      <c r="N30" s="25" t="s">
        <v>7</v>
      </c>
      <c r="O30" s="14">
        <f aca="true" t="shared" si="20" ref="O30:O56">IF(N30="5",I30,0)</f>
        <v>0</v>
      </c>
      <c r="Z30" s="14">
        <f aca="true" t="shared" si="21" ref="Z30:Z56">IF(AD30=0,J30,0)</f>
        <v>0</v>
      </c>
      <c r="AA30" s="14">
        <f aca="true" t="shared" si="22" ref="AA30:AA56">IF(AD30=10,J30,0)</f>
        <v>0</v>
      </c>
      <c r="AB30" s="14">
        <f aca="true" t="shared" si="23" ref="AB30:AB56">IF(AD30=20,J30,0)</f>
        <v>0</v>
      </c>
      <c r="AD30" s="14">
        <v>10</v>
      </c>
      <c r="AE30" s="14">
        <f>G30*0</f>
        <v>0</v>
      </c>
      <c r="AF30" s="14">
        <f>G30*(1-0)</f>
        <v>0</v>
      </c>
    </row>
    <row r="31" spans="1:32" ht="12.75">
      <c r="A31" s="5" t="s">
        <v>23</v>
      </c>
      <c r="B31" s="5"/>
      <c r="C31" s="5" t="s">
        <v>73</v>
      </c>
      <c r="D31" s="5" t="s">
        <v>122</v>
      </c>
      <c r="E31" s="5" t="s">
        <v>157</v>
      </c>
      <c r="F31" s="14">
        <v>2</v>
      </c>
      <c r="G31" s="14"/>
      <c r="H31" s="14">
        <f t="shared" si="16"/>
        <v>0</v>
      </c>
      <c r="I31" s="14">
        <f t="shared" si="17"/>
        <v>0</v>
      </c>
      <c r="J31" s="14">
        <f t="shared" si="18"/>
        <v>0</v>
      </c>
      <c r="K31" s="14">
        <v>0.0951</v>
      </c>
      <c r="L31" s="14">
        <f t="shared" si="19"/>
        <v>0.1902</v>
      </c>
      <c r="N31" s="25" t="s">
        <v>7</v>
      </c>
      <c r="O31" s="14">
        <f t="shared" si="20"/>
        <v>0</v>
      </c>
      <c r="Z31" s="14">
        <f t="shared" si="21"/>
        <v>0</v>
      </c>
      <c r="AA31" s="14">
        <f t="shared" si="22"/>
        <v>0</v>
      </c>
      <c r="AB31" s="14">
        <f t="shared" si="23"/>
        <v>0</v>
      </c>
      <c r="AD31" s="14">
        <v>10</v>
      </c>
      <c r="AE31" s="14">
        <f>G31*0</f>
        <v>0</v>
      </c>
      <c r="AF31" s="14">
        <f>G31*(1-0)</f>
        <v>0</v>
      </c>
    </row>
    <row r="32" spans="1:32" ht="12.75">
      <c r="A32" s="5" t="s">
        <v>24</v>
      </c>
      <c r="B32" s="5"/>
      <c r="C32" s="5" t="s">
        <v>74</v>
      </c>
      <c r="D32" s="5" t="s">
        <v>123</v>
      </c>
      <c r="E32" s="5" t="s">
        <v>157</v>
      </c>
      <c r="F32" s="14">
        <v>2</v>
      </c>
      <c r="G32" s="14"/>
      <c r="H32" s="14">
        <f t="shared" si="16"/>
        <v>0</v>
      </c>
      <c r="I32" s="14">
        <f t="shared" si="17"/>
        <v>0</v>
      </c>
      <c r="J32" s="14">
        <f t="shared" si="18"/>
        <v>0</v>
      </c>
      <c r="K32" s="14">
        <v>0.00017</v>
      </c>
      <c r="L32" s="14">
        <f t="shared" si="19"/>
        <v>0.00034</v>
      </c>
      <c r="N32" s="25" t="s">
        <v>7</v>
      </c>
      <c r="O32" s="14">
        <f t="shared" si="20"/>
        <v>0</v>
      </c>
      <c r="Z32" s="14">
        <f t="shared" si="21"/>
        <v>0</v>
      </c>
      <c r="AA32" s="14">
        <f t="shared" si="22"/>
        <v>0</v>
      </c>
      <c r="AB32" s="14">
        <f t="shared" si="23"/>
        <v>0</v>
      </c>
      <c r="AD32" s="14">
        <v>10</v>
      </c>
      <c r="AE32" s="14">
        <f>G32*0.0442244908535005</f>
        <v>0</v>
      </c>
      <c r="AF32" s="14">
        <f>G32*(1-0.0442244908535005)</f>
        <v>0</v>
      </c>
    </row>
    <row r="33" spans="1:32" ht="12.75">
      <c r="A33" s="5" t="s">
        <v>25</v>
      </c>
      <c r="B33" s="5"/>
      <c r="C33" s="5" t="s">
        <v>75</v>
      </c>
      <c r="D33" s="5" t="s">
        <v>124</v>
      </c>
      <c r="E33" s="5" t="s">
        <v>155</v>
      </c>
      <c r="F33" s="14">
        <v>6</v>
      </c>
      <c r="G33" s="14"/>
      <c r="H33" s="14">
        <f t="shared" si="16"/>
        <v>0</v>
      </c>
      <c r="I33" s="14">
        <f t="shared" si="17"/>
        <v>0</v>
      </c>
      <c r="J33" s="14">
        <f t="shared" si="18"/>
        <v>0</v>
      </c>
      <c r="K33" s="14">
        <v>0.00041</v>
      </c>
      <c r="L33" s="14">
        <f t="shared" si="19"/>
        <v>0.00246</v>
      </c>
      <c r="N33" s="25" t="s">
        <v>7</v>
      </c>
      <c r="O33" s="14">
        <f t="shared" si="20"/>
        <v>0</v>
      </c>
      <c r="Z33" s="14">
        <f t="shared" si="21"/>
        <v>0</v>
      </c>
      <c r="AA33" s="14">
        <f t="shared" si="22"/>
        <v>0</v>
      </c>
      <c r="AB33" s="14">
        <f t="shared" si="23"/>
        <v>0</v>
      </c>
      <c r="AD33" s="14">
        <v>10</v>
      </c>
      <c r="AE33" s="14">
        <f>G33*0.580873292258237</f>
        <v>0</v>
      </c>
      <c r="AF33" s="14">
        <f>G33*(1-0.580873292258237)</f>
        <v>0</v>
      </c>
    </row>
    <row r="34" spans="1:32" ht="12.75">
      <c r="A34" s="5" t="s">
        <v>26</v>
      </c>
      <c r="B34" s="5"/>
      <c r="C34" s="5" t="s">
        <v>76</v>
      </c>
      <c r="D34" s="5" t="s">
        <v>125</v>
      </c>
      <c r="E34" s="5" t="s">
        <v>155</v>
      </c>
      <c r="F34" s="14">
        <v>4</v>
      </c>
      <c r="G34" s="14"/>
      <c r="H34" s="14">
        <f t="shared" si="16"/>
        <v>0</v>
      </c>
      <c r="I34" s="14">
        <f t="shared" si="17"/>
        <v>0</v>
      </c>
      <c r="J34" s="14">
        <f t="shared" si="18"/>
        <v>0</v>
      </c>
      <c r="K34" s="14">
        <v>0.00042</v>
      </c>
      <c r="L34" s="14">
        <f t="shared" si="19"/>
        <v>0.00168</v>
      </c>
      <c r="N34" s="25" t="s">
        <v>7</v>
      </c>
      <c r="O34" s="14">
        <f t="shared" si="20"/>
        <v>0</v>
      </c>
      <c r="Z34" s="14">
        <f t="shared" si="21"/>
        <v>0</v>
      </c>
      <c r="AA34" s="14">
        <f t="shared" si="22"/>
        <v>0</v>
      </c>
      <c r="AB34" s="14">
        <f t="shared" si="23"/>
        <v>0</v>
      </c>
      <c r="AD34" s="14">
        <v>10</v>
      </c>
      <c r="AE34" s="14">
        <f>G34*0.608810881088109</f>
        <v>0</v>
      </c>
      <c r="AF34" s="14">
        <f>G34*(1-0.608810881088109)</f>
        <v>0</v>
      </c>
    </row>
    <row r="35" spans="1:32" ht="12.75">
      <c r="A35" s="5" t="s">
        <v>27</v>
      </c>
      <c r="B35" s="5"/>
      <c r="C35" s="5" t="s">
        <v>77</v>
      </c>
      <c r="D35" s="5" t="s">
        <v>126</v>
      </c>
      <c r="E35" s="5" t="s">
        <v>157</v>
      </c>
      <c r="F35" s="14">
        <v>3</v>
      </c>
      <c r="G35" s="14"/>
      <c r="H35" s="14">
        <f t="shared" si="16"/>
        <v>0</v>
      </c>
      <c r="I35" s="14">
        <f t="shared" si="17"/>
        <v>0</v>
      </c>
      <c r="J35" s="14">
        <f t="shared" si="18"/>
        <v>0</v>
      </c>
      <c r="K35" s="14">
        <v>0.01027</v>
      </c>
      <c r="L35" s="14">
        <f t="shared" si="19"/>
        <v>0.030809999999999997</v>
      </c>
      <c r="N35" s="25" t="s">
        <v>7</v>
      </c>
      <c r="O35" s="14">
        <f t="shared" si="20"/>
        <v>0</v>
      </c>
      <c r="Z35" s="14">
        <f t="shared" si="21"/>
        <v>0</v>
      </c>
      <c r="AA35" s="14">
        <f t="shared" si="22"/>
        <v>0</v>
      </c>
      <c r="AB35" s="14">
        <f t="shared" si="23"/>
        <v>0</v>
      </c>
      <c r="AD35" s="14">
        <v>10</v>
      </c>
      <c r="AE35" s="14">
        <f>G35*0.856254942274237</f>
        <v>0</v>
      </c>
      <c r="AF35" s="14">
        <f>G35*(1-0.856254942274237)</f>
        <v>0</v>
      </c>
    </row>
    <row r="36" spans="1:32" ht="12.75">
      <c r="A36" s="5" t="s">
        <v>28</v>
      </c>
      <c r="B36" s="5"/>
      <c r="C36" s="5" t="s">
        <v>78</v>
      </c>
      <c r="D36" s="5" t="s">
        <v>127</v>
      </c>
      <c r="E36" s="5" t="s">
        <v>157</v>
      </c>
      <c r="F36" s="14">
        <v>4</v>
      </c>
      <c r="G36" s="14"/>
      <c r="H36" s="14">
        <f t="shared" si="16"/>
        <v>0</v>
      </c>
      <c r="I36" s="14">
        <f t="shared" si="17"/>
        <v>0</v>
      </c>
      <c r="J36" s="14">
        <f t="shared" si="18"/>
        <v>0</v>
      </c>
      <c r="K36" s="14">
        <v>0.02368</v>
      </c>
      <c r="L36" s="14">
        <f t="shared" si="19"/>
        <v>0.09472</v>
      </c>
      <c r="N36" s="25" t="s">
        <v>7</v>
      </c>
      <c r="O36" s="14">
        <f t="shared" si="20"/>
        <v>0</v>
      </c>
      <c r="Z36" s="14">
        <f t="shared" si="21"/>
        <v>0</v>
      </c>
      <c r="AA36" s="14">
        <f t="shared" si="22"/>
        <v>0</v>
      </c>
      <c r="AB36" s="14">
        <f t="shared" si="23"/>
        <v>0</v>
      </c>
      <c r="AD36" s="14">
        <v>10</v>
      </c>
      <c r="AE36" s="14">
        <f>G36*0.939479647989755</f>
        <v>0</v>
      </c>
      <c r="AF36" s="14">
        <f>G36*(1-0.939479647989755)</f>
        <v>0</v>
      </c>
    </row>
    <row r="37" spans="1:32" ht="12.75">
      <c r="A37" s="5" t="s">
        <v>29</v>
      </c>
      <c r="B37" s="5"/>
      <c r="C37" s="5" t="s">
        <v>79</v>
      </c>
      <c r="D37" s="5" t="s">
        <v>196</v>
      </c>
      <c r="E37" s="5" t="s">
        <v>157</v>
      </c>
      <c r="F37" s="14">
        <v>2</v>
      </c>
      <c r="G37" s="14"/>
      <c r="H37" s="14">
        <v>0</v>
      </c>
      <c r="I37" s="14">
        <v>0</v>
      </c>
      <c r="J37" s="14">
        <f t="shared" si="18"/>
        <v>0</v>
      </c>
      <c r="K37" s="14">
        <v>0.01001</v>
      </c>
      <c r="L37" s="14">
        <f t="shared" si="19"/>
        <v>0.02002</v>
      </c>
      <c r="N37" s="25" t="s">
        <v>7</v>
      </c>
      <c r="O37" s="14">
        <f t="shared" si="20"/>
        <v>0</v>
      </c>
      <c r="Z37" s="14">
        <f t="shared" si="21"/>
        <v>0</v>
      </c>
      <c r="AA37" s="14">
        <f t="shared" si="22"/>
        <v>0</v>
      </c>
      <c r="AB37" s="14">
        <f t="shared" si="23"/>
        <v>0</v>
      </c>
      <c r="AD37" s="14">
        <v>10</v>
      </c>
      <c r="AE37" s="14">
        <f>G37*0.736882629219206</f>
        <v>0</v>
      </c>
      <c r="AF37" s="14">
        <f>G37*(1-0.736882629219206)</f>
        <v>0</v>
      </c>
    </row>
    <row r="38" spans="1:32" ht="12.75">
      <c r="A38" s="5" t="s">
        <v>30</v>
      </c>
      <c r="B38" s="5"/>
      <c r="C38" s="5" t="s">
        <v>80</v>
      </c>
      <c r="D38" s="5" t="s">
        <v>128</v>
      </c>
      <c r="E38" s="5" t="s">
        <v>157</v>
      </c>
      <c r="F38" s="14">
        <v>2</v>
      </c>
      <c r="G38" s="14"/>
      <c r="H38" s="14">
        <f t="shared" si="16"/>
        <v>0</v>
      </c>
      <c r="I38" s="14">
        <f t="shared" si="17"/>
        <v>0</v>
      </c>
      <c r="J38" s="14">
        <f t="shared" si="18"/>
        <v>0</v>
      </c>
      <c r="K38" s="14">
        <v>0.01501</v>
      </c>
      <c r="L38" s="14">
        <f t="shared" si="19"/>
        <v>0.03002</v>
      </c>
      <c r="N38" s="25" t="s">
        <v>7</v>
      </c>
      <c r="O38" s="14">
        <f t="shared" si="20"/>
        <v>0</v>
      </c>
      <c r="Z38" s="14">
        <f t="shared" si="21"/>
        <v>0</v>
      </c>
      <c r="AA38" s="14">
        <f t="shared" si="22"/>
        <v>0</v>
      </c>
      <c r="AB38" s="14">
        <f t="shared" si="23"/>
        <v>0</v>
      </c>
      <c r="AD38" s="14">
        <v>10</v>
      </c>
      <c r="AE38" s="14">
        <f>G38*0.747996165344013</f>
        <v>0</v>
      </c>
      <c r="AF38" s="14">
        <f>G38*(1-0.747996165344013)</f>
        <v>0</v>
      </c>
    </row>
    <row r="39" spans="1:32" ht="12.75">
      <c r="A39" s="5" t="s">
        <v>31</v>
      </c>
      <c r="B39" s="5"/>
      <c r="C39" s="5" t="s">
        <v>81</v>
      </c>
      <c r="D39" s="5" t="s">
        <v>129</v>
      </c>
      <c r="E39" s="5" t="s">
        <v>157</v>
      </c>
      <c r="F39" s="14">
        <v>10</v>
      </c>
      <c r="G39" s="14"/>
      <c r="H39" s="14">
        <f t="shared" si="16"/>
        <v>0</v>
      </c>
      <c r="I39" s="14">
        <f t="shared" si="17"/>
        <v>0</v>
      </c>
      <c r="J39" s="14">
        <f t="shared" si="18"/>
        <v>0</v>
      </c>
      <c r="K39" s="14">
        <v>0.01933</v>
      </c>
      <c r="L39" s="14">
        <f t="shared" si="19"/>
        <v>0.1933</v>
      </c>
      <c r="N39" s="25" t="s">
        <v>7</v>
      </c>
      <c r="O39" s="14">
        <f t="shared" si="20"/>
        <v>0</v>
      </c>
      <c r="Z39" s="14">
        <f t="shared" si="21"/>
        <v>0</v>
      </c>
      <c r="AA39" s="14">
        <f t="shared" si="22"/>
        <v>0</v>
      </c>
      <c r="AB39" s="14">
        <f t="shared" si="23"/>
        <v>0</v>
      </c>
      <c r="AD39" s="14">
        <v>10</v>
      </c>
      <c r="AE39" s="14">
        <f>G39*0</f>
        <v>0</v>
      </c>
      <c r="AF39" s="14">
        <f>G39*(1-0)</f>
        <v>0</v>
      </c>
    </row>
    <row r="40" spans="1:32" ht="12.75">
      <c r="A40" s="5" t="s">
        <v>32</v>
      </c>
      <c r="B40" s="5"/>
      <c r="C40" s="5" t="s">
        <v>82</v>
      </c>
      <c r="D40" s="5" t="s">
        <v>130</v>
      </c>
      <c r="E40" s="5" t="s">
        <v>157</v>
      </c>
      <c r="F40" s="14">
        <v>3</v>
      </c>
      <c r="G40" s="14"/>
      <c r="H40" s="14">
        <f t="shared" si="16"/>
        <v>0</v>
      </c>
      <c r="I40" s="14">
        <f t="shared" si="17"/>
        <v>0</v>
      </c>
      <c r="J40" s="14">
        <f t="shared" si="18"/>
        <v>0</v>
      </c>
      <c r="K40" s="14">
        <v>0.00292</v>
      </c>
      <c r="L40" s="14">
        <f t="shared" si="19"/>
        <v>0.00876</v>
      </c>
      <c r="N40" s="25" t="s">
        <v>7</v>
      </c>
      <c r="O40" s="14">
        <f t="shared" si="20"/>
        <v>0</v>
      </c>
      <c r="Z40" s="14">
        <f t="shared" si="21"/>
        <v>0</v>
      </c>
      <c r="AA40" s="14">
        <f t="shared" si="22"/>
        <v>0</v>
      </c>
      <c r="AB40" s="14">
        <f t="shared" si="23"/>
        <v>0</v>
      </c>
      <c r="AD40" s="14">
        <v>10</v>
      </c>
      <c r="AE40" s="14">
        <f>G40*0.733720282674655</f>
        <v>0</v>
      </c>
      <c r="AF40" s="14">
        <f>G40*(1-0.733720282674655)</f>
        <v>0</v>
      </c>
    </row>
    <row r="41" spans="1:32" ht="12.75">
      <c r="A41" s="5" t="s">
        <v>33</v>
      </c>
      <c r="B41" s="5"/>
      <c r="C41" s="5" t="s">
        <v>83</v>
      </c>
      <c r="D41" s="5" t="s">
        <v>131</v>
      </c>
      <c r="E41" s="5" t="s">
        <v>155</v>
      </c>
      <c r="F41" s="14">
        <v>6</v>
      </c>
      <c r="G41" s="14"/>
      <c r="H41" s="14">
        <f t="shared" si="16"/>
        <v>0</v>
      </c>
      <c r="I41" s="14">
        <f t="shared" si="17"/>
        <v>0</v>
      </c>
      <c r="J41" s="14">
        <f t="shared" si="18"/>
        <v>0</v>
      </c>
      <c r="K41" s="14">
        <v>0.00071</v>
      </c>
      <c r="L41" s="14">
        <f t="shared" si="19"/>
        <v>0.00426</v>
      </c>
      <c r="N41" s="25" t="s">
        <v>7</v>
      </c>
      <c r="O41" s="14">
        <f t="shared" si="20"/>
        <v>0</v>
      </c>
      <c r="Z41" s="14">
        <f t="shared" si="21"/>
        <v>0</v>
      </c>
      <c r="AA41" s="14">
        <f t="shared" si="22"/>
        <v>0</v>
      </c>
      <c r="AB41" s="14">
        <f t="shared" si="23"/>
        <v>0</v>
      </c>
      <c r="AD41" s="14">
        <v>10</v>
      </c>
      <c r="AE41" s="14">
        <f>G41*0.265180102915952</f>
        <v>0</v>
      </c>
      <c r="AF41" s="14">
        <f>G41*(1-0.265180102915952)</f>
        <v>0</v>
      </c>
    </row>
    <row r="42" spans="1:32" ht="12.75">
      <c r="A42" s="5" t="s">
        <v>34</v>
      </c>
      <c r="B42" s="5"/>
      <c r="C42" s="5" t="s">
        <v>84</v>
      </c>
      <c r="D42" s="5" t="s">
        <v>132</v>
      </c>
      <c r="E42" s="5" t="s">
        <v>155</v>
      </c>
      <c r="F42" s="14">
        <v>6</v>
      </c>
      <c r="G42" s="14"/>
      <c r="H42" s="14">
        <f t="shared" si="16"/>
        <v>0</v>
      </c>
      <c r="I42" s="14">
        <f t="shared" si="17"/>
        <v>0</v>
      </c>
      <c r="J42" s="14">
        <f t="shared" si="18"/>
        <v>0</v>
      </c>
      <c r="K42" s="14">
        <v>0.0018</v>
      </c>
      <c r="L42" s="14">
        <f t="shared" si="19"/>
        <v>0.0108</v>
      </c>
      <c r="N42" s="25" t="s">
        <v>7</v>
      </c>
      <c r="O42" s="14">
        <f t="shared" si="20"/>
        <v>0</v>
      </c>
      <c r="Z42" s="14">
        <f t="shared" si="21"/>
        <v>0</v>
      </c>
      <c r="AA42" s="14">
        <f t="shared" si="22"/>
        <v>0</v>
      </c>
      <c r="AB42" s="14">
        <f t="shared" si="23"/>
        <v>0</v>
      </c>
      <c r="AD42" s="14">
        <v>10</v>
      </c>
      <c r="AE42" s="14">
        <f>G42*0.550117647058823</f>
        <v>0</v>
      </c>
      <c r="AF42" s="14">
        <f>G42*(1-0.550117647058823)</f>
        <v>0</v>
      </c>
    </row>
    <row r="43" spans="1:32" ht="12.75">
      <c r="A43" s="5" t="s">
        <v>35</v>
      </c>
      <c r="B43" s="5"/>
      <c r="C43" s="5" t="s">
        <v>85</v>
      </c>
      <c r="D43" s="5" t="s">
        <v>133</v>
      </c>
      <c r="E43" s="5" t="s">
        <v>157</v>
      </c>
      <c r="F43" s="14">
        <v>4</v>
      </c>
      <c r="G43" s="14"/>
      <c r="H43" s="14">
        <f t="shared" si="16"/>
        <v>0</v>
      </c>
      <c r="I43" s="14">
        <f t="shared" si="17"/>
        <v>0</v>
      </c>
      <c r="J43" s="14">
        <f t="shared" si="18"/>
        <v>0</v>
      </c>
      <c r="K43" s="14">
        <v>0.00375</v>
      </c>
      <c r="L43" s="14">
        <f t="shared" si="19"/>
        <v>0.015</v>
      </c>
      <c r="N43" s="25" t="s">
        <v>7</v>
      </c>
      <c r="O43" s="14">
        <f t="shared" si="20"/>
        <v>0</v>
      </c>
      <c r="Z43" s="14">
        <f t="shared" si="21"/>
        <v>0</v>
      </c>
      <c r="AA43" s="14">
        <f t="shared" si="22"/>
        <v>0</v>
      </c>
      <c r="AB43" s="14">
        <f t="shared" si="23"/>
        <v>0</v>
      </c>
      <c r="AD43" s="14">
        <v>10</v>
      </c>
      <c r="AE43" s="14">
        <f>G43*0.739981804791405</f>
        <v>0</v>
      </c>
      <c r="AF43" s="14">
        <f>G43*(1-0.739981804791405)</f>
        <v>0</v>
      </c>
    </row>
    <row r="44" spans="1:32" ht="12.75">
      <c r="A44" s="5" t="s">
        <v>36</v>
      </c>
      <c r="B44" s="5"/>
      <c r="C44" s="5" t="s">
        <v>86</v>
      </c>
      <c r="D44" s="5" t="s">
        <v>134</v>
      </c>
      <c r="E44" s="5" t="s">
        <v>157</v>
      </c>
      <c r="F44" s="14">
        <v>4</v>
      </c>
      <c r="G44" s="14"/>
      <c r="H44" s="14">
        <f t="shared" si="16"/>
        <v>0</v>
      </c>
      <c r="I44" s="14">
        <f t="shared" si="17"/>
        <v>0</v>
      </c>
      <c r="J44" s="14">
        <f t="shared" si="18"/>
        <v>0</v>
      </c>
      <c r="K44" s="14">
        <v>0.28888</v>
      </c>
      <c r="L44" s="14">
        <f t="shared" si="19"/>
        <v>1.15552</v>
      </c>
      <c r="N44" s="25" t="s">
        <v>7</v>
      </c>
      <c r="O44" s="14">
        <f t="shared" si="20"/>
        <v>0</v>
      </c>
      <c r="Z44" s="14">
        <f t="shared" si="21"/>
        <v>0</v>
      </c>
      <c r="AA44" s="14">
        <f t="shared" si="22"/>
        <v>0</v>
      </c>
      <c r="AB44" s="14">
        <f t="shared" si="23"/>
        <v>0</v>
      </c>
      <c r="AD44" s="14">
        <v>10</v>
      </c>
      <c r="AE44" s="14">
        <f>G44*0</f>
        <v>0</v>
      </c>
      <c r="AF44" s="14">
        <f>G44*(1-0)</f>
        <v>0</v>
      </c>
    </row>
    <row r="45" spans="1:32" ht="12.75">
      <c r="A45" s="5" t="s">
        <v>37</v>
      </c>
      <c r="B45" s="5"/>
      <c r="C45" s="5" t="s">
        <v>87</v>
      </c>
      <c r="D45" s="5" t="s">
        <v>192</v>
      </c>
      <c r="E45" s="5" t="s">
        <v>157</v>
      </c>
      <c r="F45" s="14">
        <v>2</v>
      </c>
      <c r="G45" s="14"/>
      <c r="H45" s="14">
        <f t="shared" si="16"/>
        <v>0</v>
      </c>
      <c r="I45" s="14">
        <f t="shared" si="17"/>
        <v>0</v>
      </c>
      <c r="J45" s="14">
        <f t="shared" si="18"/>
        <v>0</v>
      </c>
      <c r="K45" s="14">
        <v>0.04253</v>
      </c>
      <c r="L45" s="14">
        <f t="shared" si="19"/>
        <v>0.08506</v>
      </c>
      <c r="N45" s="25" t="s">
        <v>7</v>
      </c>
      <c r="O45" s="14">
        <f t="shared" si="20"/>
        <v>0</v>
      </c>
      <c r="Z45" s="14">
        <f t="shared" si="21"/>
        <v>0</v>
      </c>
      <c r="AA45" s="14">
        <f t="shared" si="22"/>
        <v>0</v>
      </c>
      <c r="AB45" s="14">
        <f t="shared" si="23"/>
        <v>0</v>
      </c>
      <c r="AD45" s="14">
        <v>10</v>
      </c>
      <c r="AE45" s="14">
        <f>G45*0.810258373947879</f>
        <v>0</v>
      </c>
      <c r="AF45" s="14">
        <f>G45*(1-0.810258373947879)</f>
        <v>0</v>
      </c>
    </row>
    <row r="46" spans="1:32" ht="12.75">
      <c r="A46" s="5" t="s">
        <v>38</v>
      </c>
      <c r="B46" s="5"/>
      <c r="C46" s="5" t="s">
        <v>88</v>
      </c>
      <c r="D46" s="5" t="s">
        <v>193</v>
      </c>
      <c r="E46" s="5" t="s">
        <v>157</v>
      </c>
      <c r="F46" s="14">
        <v>2</v>
      </c>
      <c r="G46" s="14"/>
      <c r="H46" s="14">
        <f t="shared" si="16"/>
        <v>0</v>
      </c>
      <c r="I46" s="14">
        <f t="shared" si="17"/>
        <v>0</v>
      </c>
      <c r="J46" s="14">
        <f t="shared" si="18"/>
        <v>0</v>
      </c>
      <c r="K46" s="14">
        <v>0.0005</v>
      </c>
      <c r="L46" s="14">
        <f t="shared" si="19"/>
        <v>0.001</v>
      </c>
      <c r="N46" s="25" t="s">
        <v>7</v>
      </c>
      <c r="O46" s="14">
        <f t="shared" si="20"/>
        <v>0</v>
      </c>
      <c r="Z46" s="14">
        <f t="shared" si="21"/>
        <v>0</v>
      </c>
      <c r="AA46" s="14">
        <f t="shared" si="22"/>
        <v>0</v>
      </c>
      <c r="AB46" s="14">
        <f t="shared" si="23"/>
        <v>0</v>
      </c>
      <c r="AD46" s="14">
        <v>10</v>
      </c>
      <c r="AE46" s="14">
        <f>G46*0.27561900061378</f>
        <v>0</v>
      </c>
      <c r="AF46" s="14">
        <f>G46*(1-0.27561900061378)</f>
        <v>0</v>
      </c>
    </row>
    <row r="47" spans="1:32" ht="12.75">
      <c r="A47" s="5" t="s">
        <v>39</v>
      </c>
      <c r="B47" s="5"/>
      <c r="C47" s="5" t="s">
        <v>89</v>
      </c>
      <c r="D47" s="5" t="s">
        <v>135</v>
      </c>
      <c r="E47" s="5" t="s">
        <v>157</v>
      </c>
      <c r="F47" s="14">
        <v>30</v>
      </c>
      <c r="G47" s="14"/>
      <c r="H47" s="14">
        <f t="shared" si="16"/>
        <v>0</v>
      </c>
      <c r="I47" s="14">
        <f t="shared" si="17"/>
        <v>0</v>
      </c>
      <c r="J47" s="14">
        <f t="shared" si="18"/>
        <v>0</v>
      </c>
      <c r="K47" s="14">
        <v>0.00029</v>
      </c>
      <c r="L47" s="14">
        <f t="shared" si="19"/>
        <v>0.0087</v>
      </c>
      <c r="N47" s="25" t="s">
        <v>7</v>
      </c>
      <c r="O47" s="14">
        <f t="shared" si="20"/>
        <v>0</v>
      </c>
      <c r="Z47" s="14">
        <f t="shared" si="21"/>
        <v>0</v>
      </c>
      <c r="AA47" s="14">
        <f t="shared" si="22"/>
        <v>0</v>
      </c>
      <c r="AB47" s="14">
        <f t="shared" si="23"/>
        <v>0</v>
      </c>
      <c r="AD47" s="14">
        <v>10</v>
      </c>
      <c r="AE47" s="14">
        <f>G47*0.648659171655229</f>
        <v>0</v>
      </c>
      <c r="AF47" s="14">
        <f>G47*(1-0.648659171655229)</f>
        <v>0</v>
      </c>
    </row>
    <row r="48" spans="1:32" ht="12.75">
      <c r="A48" s="5" t="s">
        <v>40</v>
      </c>
      <c r="B48" s="5"/>
      <c r="C48" s="5" t="s">
        <v>90</v>
      </c>
      <c r="D48" s="5" t="s">
        <v>136</v>
      </c>
      <c r="E48" s="5" t="s">
        <v>155</v>
      </c>
      <c r="F48" s="14">
        <v>2</v>
      </c>
      <c r="G48" s="14"/>
      <c r="H48" s="14">
        <f t="shared" si="16"/>
        <v>0</v>
      </c>
      <c r="I48" s="14">
        <f t="shared" si="17"/>
        <v>0</v>
      </c>
      <c r="J48" s="14">
        <f t="shared" si="18"/>
        <v>0</v>
      </c>
      <c r="K48" s="14">
        <v>0.00172</v>
      </c>
      <c r="L48" s="14">
        <f t="shared" si="19"/>
        <v>0.00344</v>
      </c>
      <c r="N48" s="25" t="s">
        <v>7</v>
      </c>
      <c r="O48" s="14">
        <f t="shared" si="20"/>
        <v>0</v>
      </c>
      <c r="Z48" s="14">
        <f t="shared" si="21"/>
        <v>0</v>
      </c>
      <c r="AA48" s="14">
        <f t="shared" si="22"/>
        <v>0</v>
      </c>
      <c r="AB48" s="14">
        <f t="shared" si="23"/>
        <v>0</v>
      </c>
      <c r="AD48" s="14">
        <v>10</v>
      </c>
      <c r="AE48" s="14">
        <f>G48*0.926018612653476</f>
        <v>0</v>
      </c>
      <c r="AF48" s="14">
        <f>G48*(1-0.926018612653476)</f>
        <v>0</v>
      </c>
    </row>
    <row r="49" spans="1:32" ht="12.75">
      <c r="A49" s="5" t="s">
        <v>41</v>
      </c>
      <c r="B49" s="5"/>
      <c r="C49" s="5" t="s">
        <v>91</v>
      </c>
      <c r="D49" s="5" t="s">
        <v>137</v>
      </c>
      <c r="E49" s="5" t="s">
        <v>155</v>
      </c>
      <c r="F49" s="14">
        <v>12</v>
      </c>
      <c r="G49" s="14"/>
      <c r="H49" s="14">
        <f t="shared" si="16"/>
        <v>0</v>
      </c>
      <c r="I49" s="14">
        <f t="shared" si="17"/>
        <v>0</v>
      </c>
      <c r="J49" s="14">
        <f t="shared" si="18"/>
        <v>0</v>
      </c>
      <c r="K49" s="14">
        <v>0.00089</v>
      </c>
      <c r="L49" s="14">
        <f t="shared" si="19"/>
        <v>0.010679999999999999</v>
      </c>
      <c r="N49" s="25" t="s">
        <v>7</v>
      </c>
      <c r="O49" s="14">
        <f t="shared" si="20"/>
        <v>0</v>
      </c>
      <c r="Z49" s="14">
        <f t="shared" si="21"/>
        <v>0</v>
      </c>
      <c r="AA49" s="14">
        <f t="shared" si="22"/>
        <v>0</v>
      </c>
      <c r="AB49" s="14">
        <f t="shared" si="23"/>
        <v>0</v>
      </c>
      <c r="AD49" s="14">
        <v>10</v>
      </c>
      <c r="AE49" s="14">
        <f>G49*0.908070394262439</f>
        <v>0</v>
      </c>
      <c r="AF49" s="14">
        <f>G49*(1-0.908070394262439)</f>
        <v>0</v>
      </c>
    </row>
    <row r="50" spans="1:32" ht="12.75">
      <c r="A50" s="5" t="s">
        <v>42</v>
      </c>
      <c r="B50" s="5"/>
      <c r="C50" s="5" t="s">
        <v>92</v>
      </c>
      <c r="D50" s="5" t="s">
        <v>138</v>
      </c>
      <c r="E50" s="5" t="s">
        <v>155</v>
      </c>
      <c r="F50" s="14">
        <v>2</v>
      </c>
      <c r="G50" s="14"/>
      <c r="H50" s="14">
        <f t="shared" si="16"/>
        <v>0</v>
      </c>
      <c r="I50" s="14">
        <f t="shared" si="17"/>
        <v>0</v>
      </c>
      <c r="J50" s="14">
        <f t="shared" si="18"/>
        <v>0</v>
      </c>
      <c r="K50" s="14">
        <v>2E-05</v>
      </c>
      <c r="L50" s="14">
        <f t="shared" si="19"/>
        <v>4E-05</v>
      </c>
      <c r="N50" s="25" t="s">
        <v>7</v>
      </c>
      <c r="O50" s="14">
        <f t="shared" si="20"/>
        <v>0</v>
      </c>
      <c r="Z50" s="14">
        <f t="shared" si="21"/>
        <v>0</v>
      </c>
      <c r="AA50" s="14">
        <f t="shared" si="22"/>
        <v>0</v>
      </c>
      <c r="AB50" s="14">
        <f t="shared" si="23"/>
        <v>0</v>
      </c>
      <c r="AD50" s="14">
        <v>10</v>
      </c>
      <c r="AE50" s="14">
        <f>G50*0.165610700457585</f>
        <v>0</v>
      </c>
      <c r="AF50" s="14">
        <f>G50*(1-0.165610700457585)</f>
        <v>0</v>
      </c>
    </row>
    <row r="51" spans="1:32" ht="12.75">
      <c r="A51" s="5" t="s">
        <v>43</v>
      </c>
      <c r="B51" s="5"/>
      <c r="C51" s="5" t="s">
        <v>93</v>
      </c>
      <c r="D51" s="5" t="s">
        <v>139</v>
      </c>
      <c r="E51" s="5" t="s">
        <v>155</v>
      </c>
      <c r="F51" s="14">
        <v>2</v>
      </c>
      <c r="G51" s="14"/>
      <c r="H51" s="14">
        <f t="shared" si="16"/>
        <v>0</v>
      </c>
      <c r="I51" s="14">
        <f t="shared" si="17"/>
        <v>0</v>
      </c>
      <c r="J51" s="14">
        <f t="shared" si="18"/>
        <v>0</v>
      </c>
      <c r="K51" s="14">
        <v>0.0004</v>
      </c>
      <c r="L51" s="14">
        <f t="shared" si="19"/>
        <v>0.0008</v>
      </c>
      <c r="N51" s="25" t="s">
        <v>7</v>
      </c>
      <c r="O51" s="14">
        <f t="shared" si="20"/>
        <v>0</v>
      </c>
      <c r="Z51" s="14">
        <f t="shared" si="21"/>
        <v>0</v>
      </c>
      <c r="AA51" s="14">
        <f t="shared" si="22"/>
        <v>0</v>
      </c>
      <c r="AB51" s="14">
        <f t="shared" si="23"/>
        <v>0</v>
      </c>
      <c r="AD51" s="14">
        <v>10</v>
      </c>
      <c r="AE51" s="14">
        <f>G51*0.955412560628772</f>
        <v>0</v>
      </c>
      <c r="AF51" s="14">
        <f>G51*(1-0.955412560628772)</f>
        <v>0</v>
      </c>
    </row>
    <row r="52" spans="1:32" ht="12.75">
      <c r="A52" s="5" t="s">
        <v>44</v>
      </c>
      <c r="B52" s="5"/>
      <c r="C52" s="5" t="s">
        <v>94</v>
      </c>
      <c r="D52" s="5" t="s">
        <v>140</v>
      </c>
      <c r="E52" s="5" t="s">
        <v>155</v>
      </c>
      <c r="F52" s="14">
        <v>2</v>
      </c>
      <c r="G52" s="14"/>
      <c r="H52" s="14">
        <f t="shared" si="16"/>
        <v>0</v>
      </c>
      <c r="I52" s="14">
        <f t="shared" si="17"/>
        <v>0</v>
      </c>
      <c r="J52" s="14">
        <f t="shared" si="18"/>
        <v>0</v>
      </c>
      <c r="K52" s="14">
        <v>0.0008</v>
      </c>
      <c r="L52" s="14">
        <f t="shared" si="19"/>
        <v>0.0016</v>
      </c>
      <c r="N52" s="25" t="s">
        <v>7</v>
      </c>
      <c r="O52" s="14">
        <f t="shared" si="20"/>
        <v>0</v>
      </c>
      <c r="Z52" s="14">
        <f t="shared" si="21"/>
        <v>0</v>
      </c>
      <c r="AA52" s="14">
        <f t="shared" si="22"/>
        <v>0</v>
      </c>
      <c r="AB52" s="14">
        <f t="shared" si="23"/>
        <v>0</v>
      </c>
      <c r="AD52" s="14">
        <v>10</v>
      </c>
      <c r="AE52" s="14">
        <f>G52*0.66855299081658</f>
        <v>0</v>
      </c>
      <c r="AF52" s="14">
        <f>G52*(1-0.66855299081658)</f>
        <v>0</v>
      </c>
    </row>
    <row r="53" spans="1:32" ht="12.75">
      <c r="A53" s="5" t="s">
        <v>45</v>
      </c>
      <c r="B53" s="5"/>
      <c r="C53" s="5" t="s">
        <v>95</v>
      </c>
      <c r="D53" s="5" t="s">
        <v>141</v>
      </c>
      <c r="E53" s="5" t="s">
        <v>155</v>
      </c>
      <c r="F53" s="14">
        <v>2</v>
      </c>
      <c r="G53" s="14"/>
      <c r="H53" s="14">
        <f t="shared" si="16"/>
        <v>0</v>
      </c>
      <c r="I53" s="14">
        <f t="shared" si="17"/>
        <v>0</v>
      </c>
      <c r="J53" s="14">
        <f t="shared" si="18"/>
        <v>0</v>
      </c>
      <c r="K53" s="14">
        <v>0.0161</v>
      </c>
      <c r="L53" s="14">
        <f t="shared" si="19"/>
        <v>0.0322</v>
      </c>
      <c r="N53" s="25" t="s">
        <v>7</v>
      </c>
      <c r="O53" s="14">
        <f t="shared" si="20"/>
        <v>0</v>
      </c>
      <c r="Z53" s="14">
        <f t="shared" si="21"/>
        <v>0</v>
      </c>
      <c r="AA53" s="14">
        <f t="shared" si="22"/>
        <v>0</v>
      </c>
      <c r="AB53" s="14">
        <f t="shared" si="23"/>
        <v>0</v>
      </c>
      <c r="AD53" s="14">
        <v>10</v>
      </c>
      <c r="AE53" s="14">
        <f>G53*0.959213269485591</f>
        <v>0</v>
      </c>
      <c r="AF53" s="14">
        <f>G53*(1-0.959213269485591)</f>
        <v>0</v>
      </c>
    </row>
    <row r="54" spans="1:32" ht="12.75">
      <c r="A54" s="5" t="s">
        <v>46</v>
      </c>
      <c r="B54" s="5"/>
      <c r="C54" s="5" t="s">
        <v>96</v>
      </c>
      <c r="D54" s="5" t="s">
        <v>142</v>
      </c>
      <c r="E54" s="5" t="s">
        <v>155</v>
      </c>
      <c r="F54" s="14">
        <v>2</v>
      </c>
      <c r="G54" s="14"/>
      <c r="H54" s="14">
        <f t="shared" si="16"/>
        <v>0</v>
      </c>
      <c r="I54" s="14">
        <f t="shared" si="17"/>
        <v>0</v>
      </c>
      <c r="J54" s="14">
        <f t="shared" si="18"/>
        <v>0</v>
      </c>
      <c r="K54" s="14">
        <v>0.00883</v>
      </c>
      <c r="L54" s="14">
        <f t="shared" si="19"/>
        <v>0.01766</v>
      </c>
      <c r="N54" s="25" t="s">
        <v>7</v>
      </c>
      <c r="O54" s="14">
        <f t="shared" si="20"/>
        <v>0</v>
      </c>
      <c r="Z54" s="14">
        <f t="shared" si="21"/>
        <v>0</v>
      </c>
      <c r="AA54" s="14">
        <f t="shared" si="22"/>
        <v>0</v>
      </c>
      <c r="AB54" s="14">
        <f t="shared" si="23"/>
        <v>0</v>
      </c>
      <c r="AD54" s="14">
        <v>10</v>
      </c>
      <c r="AE54" s="14">
        <f>G54*0.868730849292992</f>
        <v>0</v>
      </c>
      <c r="AF54" s="14">
        <f>G54*(1-0.868730849292992)</f>
        <v>0</v>
      </c>
    </row>
    <row r="55" spans="1:32" ht="12.75">
      <c r="A55" s="5" t="s">
        <v>47</v>
      </c>
      <c r="B55" s="5"/>
      <c r="C55" s="5" t="s">
        <v>90</v>
      </c>
      <c r="D55" s="5" t="s">
        <v>143</v>
      </c>
      <c r="E55" s="5" t="s">
        <v>155</v>
      </c>
      <c r="F55" s="14">
        <v>2</v>
      </c>
      <c r="G55" s="14"/>
      <c r="H55" s="14">
        <f t="shared" si="16"/>
        <v>0</v>
      </c>
      <c r="I55" s="14">
        <f t="shared" si="17"/>
        <v>0</v>
      </c>
      <c r="J55" s="14">
        <f t="shared" si="18"/>
        <v>0</v>
      </c>
      <c r="K55" s="14">
        <v>0.00172</v>
      </c>
      <c r="L55" s="14">
        <f t="shared" si="19"/>
        <v>0.00344</v>
      </c>
      <c r="N55" s="25" t="s">
        <v>7</v>
      </c>
      <c r="O55" s="14">
        <f t="shared" si="20"/>
        <v>0</v>
      </c>
      <c r="Z55" s="14">
        <f t="shared" si="21"/>
        <v>0</v>
      </c>
      <c r="AA55" s="14">
        <f t="shared" si="22"/>
        <v>0</v>
      </c>
      <c r="AB55" s="14">
        <f t="shared" si="23"/>
        <v>0</v>
      </c>
      <c r="AD55" s="14">
        <v>10</v>
      </c>
      <c r="AE55" s="14">
        <f>G55*0.926018612653476</f>
        <v>0</v>
      </c>
      <c r="AF55" s="14">
        <f>G55*(1-0.926018612653476)</f>
        <v>0</v>
      </c>
    </row>
    <row r="56" spans="1:32" ht="12.75">
      <c r="A56" s="5" t="s">
        <v>48</v>
      </c>
      <c r="B56" s="5"/>
      <c r="C56" s="5" t="s">
        <v>97</v>
      </c>
      <c r="D56" s="5" t="s">
        <v>144</v>
      </c>
      <c r="E56" s="5" t="s">
        <v>158</v>
      </c>
      <c r="F56" s="14">
        <v>2.31</v>
      </c>
      <c r="G56" s="14"/>
      <c r="H56" s="14">
        <f t="shared" si="16"/>
        <v>0</v>
      </c>
      <c r="I56" s="14">
        <f t="shared" si="17"/>
        <v>0</v>
      </c>
      <c r="J56" s="14">
        <f t="shared" si="18"/>
        <v>0</v>
      </c>
      <c r="K56" s="14">
        <v>0</v>
      </c>
      <c r="L56" s="14">
        <f t="shared" si="19"/>
        <v>0</v>
      </c>
      <c r="N56" s="25" t="s">
        <v>7</v>
      </c>
      <c r="O56" s="14">
        <f t="shared" si="20"/>
        <v>0</v>
      </c>
      <c r="Z56" s="14">
        <f t="shared" si="21"/>
        <v>0</v>
      </c>
      <c r="AA56" s="14">
        <f t="shared" si="22"/>
        <v>0</v>
      </c>
      <c r="AB56" s="14">
        <f t="shared" si="23"/>
        <v>0</v>
      </c>
      <c r="AD56" s="14">
        <v>10</v>
      </c>
      <c r="AE56" s="14">
        <f>G56*0</f>
        <v>0</v>
      </c>
      <c r="AF56" s="14">
        <f>G56*(1-0)</f>
        <v>0</v>
      </c>
    </row>
    <row r="57" spans="1:37" ht="12.75">
      <c r="A57" s="6"/>
      <c r="B57" s="6"/>
      <c r="C57" s="12" t="s">
        <v>98</v>
      </c>
      <c r="D57" s="41" t="s">
        <v>145</v>
      </c>
      <c r="E57" s="42"/>
      <c r="F57" s="42"/>
      <c r="G57" s="42"/>
      <c r="H57" s="27">
        <f>SUM(H58:H58)</f>
        <v>0</v>
      </c>
      <c r="I57" s="27">
        <f>SUM(I58:I58)</f>
        <v>0</v>
      </c>
      <c r="J57" s="27">
        <f>H57+I57</f>
        <v>0</v>
      </c>
      <c r="K57" s="22"/>
      <c r="L57" s="27">
        <f>SUM(L58:L58)</f>
        <v>0</v>
      </c>
      <c r="P57" s="27">
        <f>IF(Q57="PR",J57,SUM(O58:O58))</f>
        <v>0</v>
      </c>
      <c r="Q57" s="22" t="s">
        <v>176</v>
      </c>
      <c r="R57" s="27">
        <f>IF(Q57="HS",H57,0)</f>
        <v>0</v>
      </c>
      <c r="S57" s="27">
        <f>IF(Q57="HS",I57-P57,0)</f>
        <v>0</v>
      </c>
      <c r="T57" s="27">
        <f>IF(Q57="PS",H57,0)</f>
        <v>0</v>
      </c>
      <c r="U57" s="27">
        <f>IF(Q57="PS",I57-P57,0)</f>
        <v>0</v>
      </c>
      <c r="V57" s="27">
        <f>IF(Q57="MP",H57,0)</f>
        <v>0</v>
      </c>
      <c r="W57" s="27">
        <f>IF(Q57="MP",I57-P57,0)</f>
        <v>0</v>
      </c>
      <c r="X57" s="27">
        <f>IF(Q57="OM",H57,0)</f>
        <v>0</v>
      </c>
      <c r="Y57" s="22"/>
      <c r="AI57" s="27">
        <f>SUM(Z58:Z58)</f>
        <v>0</v>
      </c>
      <c r="AJ57" s="27">
        <f>SUM(AA58:AA58)</f>
        <v>0</v>
      </c>
      <c r="AK57" s="27">
        <f>SUM(AB58:AB58)</f>
        <v>0</v>
      </c>
    </row>
    <row r="58" spans="1:32" ht="12.75">
      <c r="A58" s="5" t="s">
        <v>49</v>
      </c>
      <c r="B58" s="5"/>
      <c r="C58" s="5" t="s">
        <v>99</v>
      </c>
      <c r="D58" s="5" t="s">
        <v>146</v>
      </c>
      <c r="E58" s="5" t="s">
        <v>159</v>
      </c>
      <c r="F58" s="14">
        <v>6</v>
      </c>
      <c r="G58" s="14"/>
      <c r="H58" s="14">
        <f>ROUND(F58*AE58,2)</f>
        <v>0</v>
      </c>
      <c r="I58" s="14">
        <f>J58-H58</f>
        <v>0</v>
      </c>
      <c r="J58" s="14">
        <f>ROUND(F58*G58,2)</f>
        <v>0</v>
      </c>
      <c r="K58" s="14">
        <v>0</v>
      </c>
      <c r="L58" s="14">
        <f>F58*K58</f>
        <v>0</v>
      </c>
      <c r="N58" s="25" t="s">
        <v>7</v>
      </c>
      <c r="O58" s="14">
        <f>IF(N58="5",I58,0)</f>
        <v>0</v>
      </c>
      <c r="Z58" s="14">
        <f>IF(AD58=0,J58,0)</f>
        <v>0</v>
      </c>
      <c r="AA58" s="14">
        <f>IF(AD58=10,J58,0)</f>
        <v>0</v>
      </c>
      <c r="AB58" s="14">
        <f>IF(AD58=20,J58,0)</f>
        <v>0</v>
      </c>
      <c r="AD58" s="14">
        <v>10</v>
      </c>
      <c r="AE58" s="14">
        <f>G58*0</f>
        <v>0</v>
      </c>
      <c r="AF58" s="14">
        <f>G58*(1-0)</f>
        <v>0</v>
      </c>
    </row>
    <row r="59" spans="1:37" ht="12.75">
      <c r="A59" s="6"/>
      <c r="B59" s="6"/>
      <c r="C59" s="12" t="s">
        <v>100</v>
      </c>
      <c r="D59" s="41" t="s">
        <v>147</v>
      </c>
      <c r="E59" s="42"/>
      <c r="F59" s="42"/>
      <c r="G59" s="42"/>
      <c r="H59" s="27">
        <f>SUM(H60:H61)</f>
        <v>0</v>
      </c>
      <c r="I59" s="27">
        <f>SUM(I60:I61)</f>
        <v>0</v>
      </c>
      <c r="J59" s="27">
        <f>H59+I59</f>
        <v>0</v>
      </c>
      <c r="K59" s="22"/>
      <c r="L59" s="27">
        <f>SUM(L60:L61)</f>
        <v>0.72</v>
      </c>
      <c r="P59" s="27">
        <f>IF(Q59="PR",J59,SUM(O60:O61))</f>
        <v>0</v>
      </c>
      <c r="Q59" s="22" t="s">
        <v>176</v>
      </c>
      <c r="R59" s="27">
        <f>IF(Q59="HS",H59,0)</f>
        <v>0</v>
      </c>
      <c r="S59" s="27">
        <f>IF(Q59="HS",I59-P59,0)</f>
        <v>0</v>
      </c>
      <c r="T59" s="27">
        <f>IF(Q59="PS",H59,0)</f>
        <v>0</v>
      </c>
      <c r="U59" s="27">
        <f>IF(Q59="PS",I59-P59,0)</f>
        <v>0</v>
      </c>
      <c r="V59" s="27">
        <f>IF(Q59="MP",H59,0)</f>
        <v>0</v>
      </c>
      <c r="W59" s="27">
        <f>IF(Q59="MP",I59-P59,0)</f>
        <v>0</v>
      </c>
      <c r="X59" s="27">
        <f>IF(Q59="OM",H59,0)</f>
        <v>0</v>
      </c>
      <c r="Y59" s="22"/>
      <c r="AI59" s="27">
        <f>SUM(Z60:Z61)</f>
        <v>0</v>
      </c>
      <c r="AJ59" s="27">
        <f>SUM(AA60:AA61)</f>
        <v>0</v>
      </c>
      <c r="AK59" s="27">
        <f>SUM(AB60:AB61)</f>
        <v>0</v>
      </c>
    </row>
    <row r="60" spans="1:32" ht="12.75">
      <c r="A60" s="5" t="s">
        <v>50</v>
      </c>
      <c r="B60" s="5"/>
      <c r="C60" s="5" t="s">
        <v>101</v>
      </c>
      <c r="D60" s="5" t="s">
        <v>148</v>
      </c>
      <c r="E60" s="5" t="s">
        <v>155</v>
      </c>
      <c r="F60" s="14">
        <v>2</v>
      </c>
      <c r="G60" s="14"/>
      <c r="H60" s="14">
        <f>ROUND(F60*AE60,2)</f>
        <v>0</v>
      </c>
      <c r="I60" s="14">
        <f>J60-H60</f>
        <v>0</v>
      </c>
      <c r="J60" s="14">
        <f>ROUND(F60*G60,2)</f>
        <v>0</v>
      </c>
      <c r="K60" s="14">
        <v>0.228</v>
      </c>
      <c r="L60" s="14">
        <f>F60*K60</f>
        <v>0.456</v>
      </c>
      <c r="N60" s="25" t="s">
        <v>7</v>
      </c>
      <c r="O60" s="14">
        <f>IF(N60="5",I60,0)</f>
        <v>0</v>
      </c>
      <c r="Z60" s="14">
        <f>IF(AD60=0,J60,0)</f>
        <v>0</v>
      </c>
      <c r="AA60" s="14">
        <f>IF(AD60=10,J60,0)</f>
        <v>0</v>
      </c>
      <c r="AB60" s="14">
        <f>IF(AD60=20,J60,0)</f>
        <v>0</v>
      </c>
      <c r="AD60" s="14">
        <v>10</v>
      </c>
      <c r="AE60" s="14">
        <f>G60*0.0570213406601679</f>
        <v>0</v>
      </c>
      <c r="AF60" s="14">
        <f>G60*(1-0.0570213406601679)</f>
        <v>0</v>
      </c>
    </row>
    <row r="61" spans="1:32" ht="12.75">
      <c r="A61" s="7" t="s">
        <v>51</v>
      </c>
      <c r="B61" s="7"/>
      <c r="C61" s="7" t="s">
        <v>102</v>
      </c>
      <c r="D61" s="7" t="s">
        <v>149</v>
      </c>
      <c r="E61" s="7" t="s">
        <v>156</v>
      </c>
      <c r="F61" s="15">
        <v>4</v>
      </c>
      <c r="G61" s="15"/>
      <c r="H61" s="15">
        <f>ROUND(F61*AE61,2)</f>
        <v>0</v>
      </c>
      <c r="I61" s="15">
        <f>J61-H61</f>
        <v>0</v>
      </c>
      <c r="J61" s="15">
        <f>ROUND(F61*G61,2)</f>
        <v>0</v>
      </c>
      <c r="K61" s="15">
        <v>0.066</v>
      </c>
      <c r="L61" s="15">
        <f>F61*K61</f>
        <v>0.264</v>
      </c>
      <c r="N61" s="25" t="s">
        <v>7</v>
      </c>
      <c r="O61" s="14">
        <f>IF(N61="5",I61,0)</f>
        <v>0</v>
      </c>
      <c r="Z61" s="14">
        <f>IF(AD61=0,J61,0)</f>
        <v>0</v>
      </c>
      <c r="AA61" s="14">
        <f>IF(AD61=10,J61,0)</f>
        <v>0</v>
      </c>
      <c r="AB61" s="14">
        <f>IF(AD61=20,J61,0)</f>
        <v>0</v>
      </c>
      <c r="AD61" s="14">
        <v>10</v>
      </c>
      <c r="AE61" s="14">
        <f>G61*0</f>
        <v>0</v>
      </c>
      <c r="AF61" s="14">
        <f>G61*(1-0)</f>
        <v>0</v>
      </c>
    </row>
    <row r="62" spans="1:28" ht="12.75">
      <c r="A62" s="8"/>
      <c r="B62" s="8"/>
      <c r="C62" s="8"/>
      <c r="D62" s="8"/>
      <c r="E62" s="8"/>
      <c r="F62" s="8"/>
      <c r="G62" s="8"/>
      <c r="H62" s="43" t="s">
        <v>165</v>
      </c>
      <c r="I62" s="44"/>
      <c r="J62" s="28">
        <f>J12+J21+J29+J57+J59</f>
        <v>0</v>
      </c>
      <c r="K62" s="8"/>
      <c r="L62" s="8"/>
      <c r="Z62" s="29">
        <f>SUM(Z13:Z61)</f>
        <v>0</v>
      </c>
      <c r="AA62" s="29">
        <f>SUM(AA13:AA61)</f>
        <v>0</v>
      </c>
      <c r="AB62" s="29">
        <f>SUM(AB13:AB61)</f>
        <v>0</v>
      </c>
    </row>
  </sheetData>
  <mergeCells count="33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21:G21"/>
    <mergeCell ref="D29:G29"/>
    <mergeCell ref="D57:G57"/>
    <mergeCell ref="D59:G59"/>
    <mergeCell ref="H62:I62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C1">
      <selection activeCell="F23" sqref="F23"/>
    </sheetView>
  </sheetViews>
  <sheetFormatPr defaultColWidth="9.14062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  <col min="10" max="16384" width="11.421875" style="0" customWidth="1"/>
  </cols>
  <sheetData>
    <row r="1" spans="1:7" ht="21.75" customHeight="1">
      <c r="A1" s="62" t="s">
        <v>184</v>
      </c>
      <c r="B1" s="63"/>
      <c r="C1" s="63"/>
      <c r="D1" s="63"/>
      <c r="E1" s="63"/>
      <c r="F1" s="63"/>
      <c r="G1" s="37"/>
    </row>
    <row r="2" spans="1:8" ht="12.75">
      <c r="A2" s="64" t="s">
        <v>1</v>
      </c>
      <c r="B2" s="43" t="s">
        <v>103</v>
      </c>
      <c r="C2" s="44"/>
      <c r="D2" s="52" t="s">
        <v>166</v>
      </c>
      <c r="E2" s="52"/>
      <c r="F2" s="53"/>
      <c r="G2" s="54"/>
      <c r="H2" s="23"/>
    </row>
    <row r="3" spans="1:8" ht="12.75">
      <c r="A3" s="65"/>
      <c r="B3" s="61"/>
      <c r="C3" s="61"/>
      <c r="D3" s="55"/>
      <c r="E3" s="55"/>
      <c r="F3" s="55"/>
      <c r="G3" s="56"/>
      <c r="H3" s="23"/>
    </row>
    <row r="4" spans="1:8" ht="12.75">
      <c r="A4" s="59" t="s">
        <v>2</v>
      </c>
      <c r="B4" s="50"/>
      <c r="C4" s="55"/>
      <c r="D4" s="50" t="s">
        <v>167</v>
      </c>
      <c r="E4" s="50"/>
      <c r="F4" s="55"/>
      <c r="G4" s="56"/>
      <c r="H4" s="23"/>
    </row>
    <row r="5" spans="1:8" ht="12.75">
      <c r="A5" s="65"/>
      <c r="B5" s="55"/>
      <c r="C5" s="55"/>
      <c r="D5" s="55"/>
      <c r="E5" s="55"/>
      <c r="F5" s="55"/>
      <c r="G5" s="56"/>
      <c r="H5" s="23"/>
    </row>
    <row r="6" spans="1:8" ht="12.75">
      <c r="A6" s="59" t="s">
        <v>3</v>
      </c>
      <c r="B6" s="50"/>
      <c r="C6" s="55"/>
      <c r="D6" s="50" t="s">
        <v>168</v>
      </c>
      <c r="E6" s="50"/>
      <c r="F6" s="55"/>
      <c r="G6" s="56"/>
      <c r="H6" s="23"/>
    </row>
    <row r="7" spans="1:8" ht="12.75">
      <c r="A7" s="65"/>
      <c r="B7" s="55"/>
      <c r="C7" s="55"/>
      <c r="D7" s="55"/>
      <c r="E7" s="55"/>
      <c r="F7" s="55"/>
      <c r="G7" s="56"/>
      <c r="H7" s="23"/>
    </row>
    <row r="8" spans="1:8" ht="12.75">
      <c r="A8" s="59" t="s">
        <v>169</v>
      </c>
      <c r="B8" s="50"/>
      <c r="C8" s="55"/>
      <c r="D8" s="50" t="s">
        <v>153</v>
      </c>
      <c r="E8" s="58">
        <v>41731</v>
      </c>
      <c r="F8" s="55"/>
      <c r="G8" s="56"/>
      <c r="H8" s="23"/>
    </row>
    <row r="9" spans="1:8" ht="12.75">
      <c r="A9" s="60"/>
      <c r="B9" s="51"/>
      <c r="C9" s="51"/>
      <c r="D9" s="51"/>
      <c r="E9" s="51"/>
      <c r="F9" s="51"/>
      <c r="G9" s="57"/>
      <c r="H9" s="23"/>
    </row>
    <row r="10" spans="1:8" ht="12.75">
      <c r="A10" s="30" t="s">
        <v>52</v>
      </c>
      <c r="B10" s="32" t="s">
        <v>53</v>
      </c>
      <c r="C10" s="33" t="s">
        <v>104</v>
      </c>
      <c r="D10" s="34" t="s">
        <v>185</v>
      </c>
      <c r="E10" s="34" t="s">
        <v>186</v>
      </c>
      <c r="F10" s="34" t="s">
        <v>187</v>
      </c>
      <c r="G10" s="38" t="s">
        <v>188</v>
      </c>
      <c r="H10" s="24"/>
    </row>
    <row r="11" spans="1:9" ht="12.75">
      <c r="A11" s="31"/>
      <c r="B11" s="31" t="s">
        <v>54</v>
      </c>
      <c r="C11" s="31" t="s">
        <v>105</v>
      </c>
      <c r="D11" s="35"/>
      <c r="E11" s="35"/>
      <c r="F11" s="35"/>
      <c r="G11" s="35">
        <v>0.08308</v>
      </c>
      <c r="H11" s="14" t="s">
        <v>189</v>
      </c>
      <c r="I11" s="14">
        <f>IF(H11="T",0,F11)</f>
        <v>0</v>
      </c>
    </row>
    <row r="12" spans="1:9" ht="12.75">
      <c r="A12" s="5"/>
      <c r="B12" s="5" t="s">
        <v>63</v>
      </c>
      <c r="C12" s="5" t="s">
        <v>112</v>
      </c>
      <c r="D12" s="14"/>
      <c r="E12" s="14"/>
      <c r="F12" s="14"/>
      <c r="G12" s="14">
        <v>0.39813</v>
      </c>
      <c r="H12" s="14" t="s">
        <v>189</v>
      </c>
      <c r="I12" s="14">
        <f>IF(H12="T",0,F12)</f>
        <v>0</v>
      </c>
    </row>
    <row r="13" spans="1:9" ht="12.75">
      <c r="A13" s="5"/>
      <c r="B13" s="5" t="s">
        <v>71</v>
      </c>
      <c r="C13" s="5" t="s">
        <v>120</v>
      </c>
      <c r="D13" s="14"/>
      <c r="E13" s="14"/>
      <c r="F13" s="14"/>
      <c r="G13" s="14">
        <v>2.31706</v>
      </c>
      <c r="H13" s="14" t="s">
        <v>189</v>
      </c>
      <c r="I13" s="14">
        <f>IF(H13="T",0,F13)</f>
        <v>0</v>
      </c>
    </row>
    <row r="14" spans="1:9" ht="12.75">
      <c r="A14" s="5"/>
      <c r="B14" s="5" t="s">
        <v>98</v>
      </c>
      <c r="C14" s="5" t="s">
        <v>145</v>
      </c>
      <c r="D14" s="14"/>
      <c r="E14" s="14"/>
      <c r="F14" s="14"/>
      <c r="G14" s="14">
        <v>0</v>
      </c>
      <c r="H14" s="14" t="s">
        <v>189</v>
      </c>
      <c r="I14" s="14">
        <f>IF(H14="T",0,F14)</f>
        <v>0</v>
      </c>
    </row>
    <row r="15" spans="1:9" ht="12.75">
      <c r="A15" s="5"/>
      <c r="B15" s="5" t="s">
        <v>100</v>
      </c>
      <c r="C15" s="5" t="s">
        <v>147</v>
      </c>
      <c r="D15" s="14"/>
      <c r="E15" s="14"/>
      <c r="F15" s="14"/>
      <c r="G15" s="14">
        <v>0.72</v>
      </c>
      <c r="H15" s="14" t="s">
        <v>189</v>
      </c>
      <c r="I15" s="14">
        <f>IF(H15="T",0,F15)</f>
        <v>0</v>
      </c>
    </row>
    <row r="17" spans="5:6" ht="12.75">
      <c r="E17" s="36" t="s">
        <v>165</v>
      </c>
      <c r="F17" s="29">
        <f>SUM(I11:I15)</f>
        <v>0</v>
      </c>
    </row>
  </sheetData>
  <mergeCells count="17">
    <mergeCell ref="A1:F1"/>
    <mergeCell ref="A2:A3"/>
    <mergeCell ref="A4:A5"/>
    <mergeCell ref="A6:A7"/>
    <mergeCell ref="D2:D3"/>
    <mergeCell ref="D4:D5"/>
    <mergeCell ref="D6:D7"/>
    <mergeCell ref="A8:A9"/>
    <mergeCell ref="B2:C3"/>
    <mergeCell ref="B4:C5"/>
    <mergeCell ref="B6:C7"/>
    <mergeCell ref="B8:C9"/>
    <mergeCell ref="D8:D9"/>
    <mergeCell ref="E2:G3"/>
    <mergeCell ref="E4:G5"/>
    <mergeCell ref="E6:G7"/>
    <mergeCell ref="E8:G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140625" defaultRowHeight="12.75"/>
  <cols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  <col min="9" max="16384" width="11.421875" style="0" customWidth="1"/>
  </cols>
  <sheetData>
    <row r="1" spans="1:7" ht="21.75" customHeight="1">
      <c r="A1" s="62" t="s">
        <v>190</v>
      </c>
      <c r="B1" s="63"/>
      <c r="C1" s="63"/>
      <c r="D1" s="63"/>
      <c r="E1" s="63"/>
      <c r="F1" s="63"/>
      <c r="G1" s="63"/>
    </row>
    <row r="2" spans="1:8" ht="12.75">
      <c r="A2" s="64" t="s">
        <v>1</v>
      </c>
      <c r="B2" s="53"/>
      <c r="C2" s="43" t="s">
        <v>103</v>
      </c>
      <c r="D2" s="44"/>
      <c r="E2" s="52" t="s">
        <v>166</v>
      </c>
      <c r="F2" s="52"/>
      <c r="G2" s="54"/>
      <c r="H2" s="23"/>
    </row>
    <row r="3" spans="1:8" ht="12.75">
      <c r="A3" s="65"/>
      <c r="B3" s="55"/>
      <c r="C3" s="61"/>
      <c r="D3" s="61"/>
      <c r="E3" s="55"/>
      <c r="F3" s="55"/>
      <c r="G3" s="56"/>
      <c r="H3" s="23"/>
    </row>
    <row r="4" spans="1:8" ht="12.75">
      <c r="A4" s="59" t="s">
        <v>2</v>
      </c>
      <c r="B4" s="55"/>
      <c r="C4" s="50"/>
      <c r="D4" s="55"/>
      <c r="E4" s="50" t="s">
        <v>167</v>
      </c>
      <c r="F4" s="50"/>
      <c r="G4" s="56"/>
      <c r="H4" s="23"/>
    </row>
    <row r="5" spans="1:8" ht="12.75">
      <c r="A5" s="65"/>
      <c r="B5" s="55"/>
      <c r="C5" s="55"/>
      <c r="D5" s="55"/>
      <c r="E5" s="55"/>
      <c r="F5" s="55"/>
      <c r="G5" s="56"/>
      <c r="H5" s="23"/>
    </row>
    <row r="6" spans="1:8" ht="12.75">
      <c r="A6" s="59" t="s">
        <v>3</v>
      </c>
      <c r="B6" s="55"/>
      <c r="C6" s="50"/>
      <c r="D6" s="55"/>
      <c r="E6" s="50" t="s">
        <v>168</v>
      </c>
      <c r="F6" s="50"/>
      <c r="G6" s="56"/>
      <c r="H6" s="23"/>
    </row>
    <row r="7" spans="1:8" ht="12.75">
      <c r="A7" s="65"/>
      <c r="B7" s="55"/>
      <c r="C7" s="55"/>
      <c r="D7" s="55"/>
      <c r="E7" s="55"/>
      <c r="F7" s="55"/>
      <c r="G7" s="56"/>
      <c r="H7" s="23"/>
    </row>
    <row r="8" spans="1:8" ht="12.75">
      <c r="A8" s="59" t="s">
        <v>169</v>
      </c>
      <c r="B8" s="55"/>
      <c r="C8" s="50"/>
      <c r="D8" s="55"/>
      <c r="E8" s="50" t="s">
        <v>153</v>
      </c>
      <c r="F8" s="58">
        <v>41731</v>
      </c>
      <c r="G8" s="56"/>
      <c r="H8" s="23"/>
    </row>
    <row r="9" spans="1:8" ht="12.75">
      <c r="A9" s="60"/>
      <c r="B9" s="51"/>
      <c r="C9" s="51"/>
      <c r="D9" s="51"/>
      <c r="E9" s="51"/>
      <c r="F9" s="51"/>
      <c r="G9" s="57"/>
      <c r="H9" s="23"/>
    </row>
    <row r="10" spans="1:8" ht="12.75">
      <c r="A10" s="32" t="s">
        <v>6</v>
      </c>
      <c r="B10" s="33" t="s">
        <v>52</v>
      </c>
      <c r="C10" s="33" t="s">
        <v>53</v>
      </c>
      <c r="D10" s="33" t="s">
        <v>104</v>
      </c>
      <c r="E10" s="33" t="s">
        <v>154</v>
      </c>
      <c r="F10" s="33" t="s">
        <v>191</v>
      </c>
      <c r="G10" s="40" t="s">
        <v>160</v>
      </c>
      <c r="H10" s="24"/>
    </row>
    <row r="11" spans="1:7" ht="12.75">
      <c r="A11" s="39"/>
      <c r="B11" s="39"/>
      <c r="C11" s="39"/>
      <c r="D11" s="39"/>
      <c r="E11" s="39"/>
      <c r="F11" s="39"/>
      <c r="G11" s="39"/>
    </row>
  </sheetData>
  <mergeCells count="17">
    <mergeCell ref="A1:G1"/>
    <mergeCell ref="A2:B3"/>
    <mergeCell ref="A4:B5"/>
    <mergeCell ref="A6:B7"/>
    <mergeCell ref="E2:E3"/>
    <mergeCell ref="E4:E5"/>
    <mergeCell ref="E6:E7"/>
    <mergeCell ref="A8:B9"/>
    <mergeCell ref="C2:D3"/>
    <mergeCell ref="C4:D5"/>
    <mergeCell ref="C6:D7"/>
    <mergeCell ref="C8:D9"/>
    <mergeCell ref="E8:E9"/>
    <mergeCell ref="F2:G3"/>
    <mergeCell ref="F4:G5"/>
    <mergeCell ref="F6:G7"/>
    <mergeCell ref="F8:G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¨</cp:lastModifiedBy>
  <cp:lastPrinted>2014-04-10T07:08:54Z</cp:lastPrinted>
  <dcterms:created xsi:type="dcterms:W3CDTF">2014-04-10T06:26:16Z</dcterms:created>
  <dcterms:modified xsi:type="dcterms:W3CDTF">2014-04-28T13:16:40Z</dcterms:modified>
  <cp:category/>
  <cp:version/>
  <cp:contentType/>
  <cp:contentStatus/>
</cp:coreProperties>
</file>