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4" activeTab="2"/>
  </bookViews>
  <sheets>
    <sheet name="REKAPITULACE" sheetId="1" r:id="rId1"/>
    <sheet name="SO 151 - DIO" sheetId="2" r:id="rId2"/>
    <sheet name="SO 201 - Modernizace mostu" sheetId="3" r:id="rId3"/>
  </sheets>
  <definedNames>
    <definedName name="Excel_BuiltIn_Print_Area">#REF!</definedName>
    <definedName name="Excel_BuiltIn_Print_Titles">#REF!</definedName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<sst xmlns="http://schemas.openxmlformats.org/spreadsheetml/2006/main" count="360" uniqueCount="251">
  <si>
    <t>VÝZTUŽ VYROVNÁVACÍHO A SPÁDOVÉHO BETONU Z KARI SÍTÍ
Výztuž spřažené desky ze sítí                                                                          1,5%*147,0m3*7,85t/m3</t>
  </si>
  <si>
    <t>711442</t>
  </si>
  <si>
    <t>574142</t>
  </si>
  <si>
    <t>SPOJOVACÍ POSTŘIK Z EMULZE DO 0,5KG/M2
PSE 0,20 kg/m2                                                                                                     105,0m2+103,0m2+448,0m2</t>
  </si>
  <si>
    <t>OBALOVANÉ KAMENIVO TŘ.I TL. 100MM
OKS I, tloušťky 60 mm (ACP 16+)                                                                          105,0m2+103,0m2</t>
  </si>
  <si>
    <r>
      <t>KAMENIVO ZPEVNĚNÉ CEMENTEM TŘ. I TL. DO 150MM
KSCI tloušťky 130 mm (SC</t>
    </r>
    <r>
      <rPr>
        <sz val="9"/>
        <rFont val="Arial"/>
        <family val="2"/>
      </rPr>
      <t xml:space="preserve">C  8/10)  </t>
    </r>
    <r>
      <rPr>
        <sz val="10"/>
        <rFont val="Arial"/>
        <family val="2"/>
      </rPr>
      <t xml:space="preserve">                                                                          29,55m2+28,4m2</t>
    </r>
  </si>
  <si>
    <t>21331</t>
  </si>
  <si>
    <t>DRENÁŽNÍ VRSTVY Z BETONU MEZEROVITÉHO (DRENÁŽNÍHO)
1,7m2*8,5m</t>
  </si>
  <si>
    <t>DRENÁŽNÍ VRSTVY Z PLASTBETONU (PLASTMALTY)
0,15m*2ks*0,05m*58,8m</t>
  </si>
  <si>
    <t>PODKLADNÍ A VÝPLŇOVÉ VRSTVY Z PROSTÉHO BETONU C12/15
Podkladní beton pod drenáž C12/15-X0          8,3m*2ks*0,15m2                                        Podkladní beton pod římsy C12/15-X0            1,2m*1,0m*4ks*0,5</t>
  </si>
  <si>
    <t>TĚSNĚNÍ DILATAČ SPAR ASF ZÁLIVKOU MODIFIK
Těsnění spáry tl. 30 mm          2ks*0,03m*0,05m*7,6m
Těsnění spáry tl. 15 mm          4ks*0,015m*0,05m*7,6m</t>
  </si>
  <si>
    <t>11372</t>
  </si>
  <si>
    <t>56963</t>
  </si>
  <si>
    <t>936501</t>
  </si>
  <si>
    <t>87627</t>
  </si>
  <si>
    <t>911512</t>
  </si>
  <si>
    <t>OCELOVÉ SVODIDLO NA OBJEKTECH JEDNOSTRANNÉ SLOUPKY DO 2M POZINK
Mostní svodidlo včetně kotvení a PKO          66,6m*2ks</t>
  </si>
  <si>
    <t>911322</t>
  </si>
  <si>
    <t>91721</t>
  </si>
  <si>
    <t>ZÁHONOVÉ OBRUBY Z BETONOVÝCH OBRUBNÍKŮ
Prefabrikovaný obrubník, 1000/250/50, C30/37-XF4, včetně betonového lože           5,0m*4ks*1,3koef+0,5m*4ks</t>
  </si>
  <si>
    <t>Stavba :</t>
  </si>
  <si>
    <t>Číslo a název SO:</t>
  </si>
  <si>
    <t>Investor: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</si>
  <si>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</si>
  <si>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</si>
  <si>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</si>
  <si>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</si>
  <si>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</si>
  <si>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</si>
  <si>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</si>
  <si>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</si>
  <si>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</si>
  <si>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</si>
  <si>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</si>
  <si>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0</t>
  </si>
  <si>
    <t>Všeobecné konstrukce a práce</t>
  </si>
  <si>
    <t>014101</t>
  </si>
  <si>
    <t>M3</t>
  </si>
  <si>
    <t>014102a</t>
  </si>
  <si>
    <t>T</t>
  </si>
  <si>
    <t>014102b</t>
  </si>
  <si>
    <t>KČ</t>
  </si>
  <si>
    <t>02910</t>
  </si>
  <si>
    <t>OSTATNÍ POŽADAVKY - ZEMĚMĚŘIČSKÁ MĚŘENÍ
Geodetické práce během výstavby a zaměření skutečného provedení stavby</t>
  </si>
  <si>
    <t>02940</t>
  </si>
  <si>
    <t>Všeobecné konstrukce a práce celkem</t>
  </si>
  <si>
    <t>1</t>
  </si>
  <si>
    <t>Zemní práce</t>
  </si>
  <si>
    <t>17120</t>
  </si>
  <si>
    <t>18110</t>
  </si>
  <si>
    <t>M2</t>
  </si>
  <si>
    <t>18241</t>
  </si>
  <si>
    <t>Zemní práce celkem</t>
  </si>
  <si>
    <t>2</t>
  </si>
  <si>
    <t>Základy</t>
  </si>
  <si>
    <t>M</t>
  </si>
  <si>
    <t>Základy celkem</t>
  </si>
  <si>
    <t>3</t>
  </si>
  <si>
    <t>Svislé konstrukce</t>
  </si>
  <si>
    <t>317325</t>
  </si>
  <si>
    <t>317365</t>
  </si>
  <si>
    <t>Svislé konstrukce celkem</t>
  </si>
  <si>
    <t>4</t>
  </si>
  <si>
    <t>Vodorovné konstrukce</t>
  </si>
  <si>
    <t>451312</t>
  </si>
  <si>
    <t>451314</t>
  </si>
  <si>
    <t>465512</t>
  </si>
  <si>
    <t>Vodorovné konstrukce celkem</t>
  </si>
  <si>
    <t>5</t>
  </si>
  <si>
    <t>Komunikace</t>
  </si>
  <si>
    <t>572213</t>
  </si>
  <si>
    <t>574621</t>
  </si>
  <si>
    <t>Komunikace celkem</t>
  </si>
  <si>
    <t>7</t>
  </si>
  <si>
    <t>Přidružená stavební výroba</t>
  </si>
  <si>
    <t>78383</t>
  </si>
  <si>
    <t>Přidružená stavební výroba celkem</t>
  </si>
  <si>
    <t>8</t>
  </si>
  <si>
    <t>Potrubí</t>
  </si>
  <si>
    <t>Potrubí celkem</t>
  </si>
  <si>
    <t>Ostatní konstrukce a práce</t>
  </si>
  <si>
    <t>91722</t>
  </si>
  <si>
    <t>919111</t>
  </si>
  <si>
    <t>919112</t>
  </si>
  <si>
    <t>93132</t>
  </si>
  <si>
    <t>93133</t>
  </si>
  <si>
    <t>Ostatní konstrukce a práce celkem</t>
  </si>
  <si>
    <t>C e l k e m – bez DPH</t>
  </si>
  <si>
    <t>C e l k e m – s DPH</t>
  </si>
  <si>
    <t>OSTATNÍ POŽADAVKY - VYPRACOVÁNÍ DOKUMENTACE
Realizační dokumentace stavby - RDS a dokumnetace skutečného provedení stavby - DSPS</t>
  </si>
  <si>
    <t>572121</t>
  </si>
  <si>
    <t>78382</t>
  </si>
  <si>
    <t>12573a</t>
  </si>
  <si>
    <t>12573b</t>
  </si>
  <si>
    <t>11120</t>
  </si>
  <si>
    <t>87434</t>
  </si>
  <si>
    <t>711509</t>
  </si>
  <si>
    <t>911213</t>
  </si>
  <si>
    <t>711502</t>
  </si>
  <si>
    <t>KUS</t>
  </si>
  <si>
    <t>574132</t>
  </si>
  <si>
    <t>56334</t>
  </si>
  <si>
    <t>561431</t>
  </si>
  <si>
    <t>966811</t>
  </si>
  <si>
    <t>333325</t>
  </si>
  <si>
    <t>333365</t>
  </si>
  <si>
    <t>9</t>
  </si>
  <si>
    <t>DPH (21%)</t>
  </si>
  <si>
    <t>21341</t>
  </si>
  <si>
    <t>11343</t>
  </si>
  <si>
    <t>96616</t>
  </si>
  <si>
    <t>11347</t>
  </si>
  <si>
    <t>11353</t>
  </si>
  <si>
    <t>97817</t>
  </si>
  <si>
    <t>ODSTRANĚNÍ MOSTNÍ IZOLACE
581,5m2+10,5m*1,3m*2ks</t>
  </si>
  <si>
    <t>938542</t>
  </si>
  <si>
    <t>261413</t>
  </si>
  <si>
    <t>93650</t>
  </si>
  <si>
    <t>KG</t>
  </si>
  <si>
    <t>936541</t>
  </si>
  <si>
    <t>KS</t>
  </si>
  <si>
    <t>MOSTNÍ ODVODŇOVACÍ TRUBKA (POVRCHŮ IZOLACE) Z NEREZ OCELI
18</t>
  </si>
  <si>
    <t>936533</t>
  </si>
  <si>
    <t xml:space="preserve">MOSTNÍ ODVODŇOVACÍ SOUPRAVA 500/500
8ks     </t>
  </si>
  <si>
    <t>261416</t>
  </si>
  <si>
    <t>26143</t>
  </si>
  <si>
    <t>VRTY PRO KOTVENÍ, INJEKTÁŽ A MIKROPILOTY NA POVRCHU TŘ. IV D DO 150MM
Vrty pro odvodňovače D 120mm          0,8m*8ks</t>
  </si>
  <si>
    <t>457325</t>
  </si>
  <si>
    <t>457365</t>
  </si>
  <si>
    <t>457366</t>
  </si>
  <si>
    <t>Modernizace mostu ev.č. 212 26 – 3 Vokov</t>
  </si>
  <si>
    <t>SO 151 – Dopravně inženýrské opatření</t>
  </si>
  <si>
    <t>02720</t>
  </si>
  <si>
    <t xml:space="preserve">POMOC PRÁCE ZŘÍZ NEBO ZAJIŠŤ REGULACI A OCHRANU DOPRAVY
Dopravně inženýrské opatření                           </t>
  </si>
  <si>
    <t>SOUPIS OBJEKTŮ S DPH</t>
  </si>
  <si>
    <t>Varianta: ZŘ - Základní řešení</t>
  </si>
  <si>
    <t>Objekt</t>
  </si>
  <si>
    <t>Popis</t>
  </si>
  <si>
    <t>DOPRAVNĚ INŽENÝRSKÉ OPATŘENÍ</t>
  </si>
  <si>
    <t>SO 151 DOPRAVNĚ INŽENÝRSKÉ OPATŘENÍ</t>
  </si>
  <si>
    <t>OC</t>
  </si>
  <si>
    <t>DPH</t>
  </si>
  <si>
    <t>OC+DPH</t>
  </si>
  <si>
    <t>ODBYTOVÁ CENA V KČ</t>
  </si>
  <si>
    <t>OC+DPH V KČ</t>
  </si>
  <si>
    <t xml:space="preserve">REKONSTRUKCE MOSTU ev.č. 212 26 – 3 </t>
  </si>
  <si>
    <t xml:space="preserve">SO 201 – Rekonstrukce mostu ev.č. 212 26 – 3 </t>
  </si>
  <si>
    <t xml:space="preserve">SO 201 REKONSTRUKCE MOSTU ev.č. 212 26 – 3 </t>
  </si>
  <si>
    <t xml:space="preserve">DROBNÉ DOPLŇK KONSTR KOVOVÉ NEREZ
Plech pro bezdilatační spojení nosníků včetně kotvení do nosníků nosné konstrukce                                                          10,15m*4ks*0,4m*0,003m*7850kg/m3    </t>
  </si>
  <si>
    <t>6</t>
  </si>
  <si>
    <t>Úpravy povrchů, podlahy, výplně otvorů</t>
  </si>
  <si>
    <t>626112</t>
  </si>
  <si>
    <t>62631</t>
  </si>
  <si>
    <t xml:space="preserve">REPROFILACE PODHLEDŮ, SVISLÝCH PLOCH SANAČNÍ MALTOU JEDNOVRST TL 20MM
30% z plochy položky č. 62631 </t>
  </si>
  <si>
    <t>626121</t>
  </si>
  <si>
    <t xml:space="preserve">REPROFIL PODHL, SVIS PLOCH SANAČ MALTOU DVOUVRST TL DO 40MM
20% z plochy položky č. 62631 </t>
  </si>
  <si>
    <t>62663</t>
  </si>
  <si>
    <t>62641</t>
  </si>
  <si>
    <t xml:space="preserve">SJEDNOCUJÍCÍ STĚRKA JEMNOU MALTOU TL CCA 2MM
100% z plochy položky č. 62631 </t>
  </si>
  <si>
    <t>62661</t>
  </si>
  <si>
    <t xml:space="preserve">DLAŽBY Z LOMOVÉHO KAMENE NA MC
Kamenná dlažba zpevnění krajnic a svahu u opěry I průměrné tloušťky 250 mm                      2,50m2*4ks*0,25m+5,0m*0,5m*4ks*1,3koef*0,25m                                                                                                      </t>
  </si>
  <si>
    <t xml:space="preserve">PODKL A VÝPLŇ VRSTVY Z PROST BET DO C25/30 (B30)
 2,50m2*4ks*0,15m+5,0m*0,5m*4ks*1,3koef*0,15m   </t>
  </si>
  <si>
    <t>938541</t>
  </si>
  <si>
    <t>OČIŠTĚNÍ ZDIVA OTRYSKÁNÍM TLAKOVOU VODOU DO 200 BARŮ
Očištění dlažby před opěrami 4,50m*10,50m*2ks</t>
  </si>
  <si>
    <t>62845</t>
  </si>
  <si>
    <t>INJEKTÁŽ TRHLIN SILOVĚ SPOJUJÍCÍ
Nosníky 10,0m*9ks*4ks</t>
  </si>
  <si>
    <t>OCHRANA IZOLACE NA POVRCHU TEXTILIÍ                                                                 Geotextilie na rubu křídel 500g/m2                                                             1,60m*8,30m*2ks+2,55m*4ks*1,20m</t>
  </si>
  <si>
    <t>26154</t>
  </si>
  <si>
    <t>VRTY PRO KOTVENÍ, INJEKTÁŽ A MIKROPILOTY NA POVRCHU TŘ. V D DO 200MM
Vrty pro vyústění drenáže          0,9m*2ks</t>
  </si>
  <si>
    <t>21263</t>
  </si>
  <si>
    <t>13173</t>
  </si>
  <si>
    <t>HLOUBENÍ JAM ZAPAŽ I NEPAŽ TŘ. I
Hloubení jam za opěrami a křídly                                                                      1,60m2*2ks*8,30m+10,6m2*0,8m*4ks</t>
  </si>
  <si>
    <t>12110</t>
  </si>
  <si>
    <t xml:space="preserve">SEJMUTÍ ORNICE NEBO LESNÍ PŮDY
Odstranění ornice ze svahových kuželů v t. 100 mm                                    5,0m*3,0m*1,30koef*4ks*0,10m                   </t>
  </si>
  <si>
    <t>17411</t>
  </si>
  <si>
    <t>ZÁSYP JAM A RÝH ZEMINOU SE ZHUTNĚNÍM
Zásyp za rubem křídel a svahových kuželů                                                                                                         10,60m2*0,50m*4ks+4ks*1,80m3*1,30koef</t>
  </si>
  <si>
    <t>ÚPRAVA PLÁNĚ SE ZHUTNĚNÍM V HORNINĚ TŘ. I
Úprava zemní pláně včetně hutnění Edef 45MPa v místě nových vrstev komunikace za opěrami    29,55m2+28,40m2</t>
  </si>
  <si>
    <t>18220</t>
  </si>
  <si>
    <t>ROZPROSTŘENÍ ORNICE VE SVAHU
Ohumusování svahových kuželů v tl. 100 mm                                      5,0m*3,0m*1,30koef*4ks*0,10m</t>
  </si>
  <si>
    <t>ZALOŽENÍ TRÁVNÍKU RUČNÍM VÝSEVEM
Na ploše ornice svahových kuželů - plocha z pol.č. 18220 = 78,0 m2                                                                                                            4,00m2</t>
  </si>
  <si>
    <t>029412</t>
  </si>
  <si>
    <t>OSTATNÍ POŽADAVKY - VYPRACOVÁNÍ MOSTNÍHO LISTU
Mostní list</t>
  </si>
  <si>
    <t>02953</t>
  </si>
  <si>
    <t>OSTATNÍ POŽADAVKY - HLAVNÍ MOSTNÍ PROHLÍDKA
Provedení 1.HMP</t>
  </si>
  <si>
    <r>
      <t xml:space="preserve">VÝZTUŽ ŘÍMS Z OCELI 10505
</t>
    </r>
    <r>
      <rPr>
        <sz val="10"/>
        <rFont val="Arial,Bold"/>
        <family val="0"/>
      </rPr>
      <t>Betonářská výztuž říms z oceli 10 505            3,0% vyztužení                   73,26m3/100*3,0*7850kg/m3/1000</t>
    </r>
  </si>
  <si>
    <t>91355</t>
  </si>
  <si>
    <t>EVIDENČNÍ ČÍSLO MOSTU
Doplnění chybějícího evdenčního čísla mostu</t>
  </si>
  <si>
    <t>28999</t>
  </si>
  <si>
    <t>94190</t>
  </si>
  <si>
    <t>M3OP</t>
  </si>
  <si>
    <t>LEHKÉ PRACOVNÍ LEŠENÍ DO 1,5 KPA
Lešení pro sanaci podhledu nosné konstrukce a pilířů        2,0m*15,0m*2ks+3,0m*2,0m*4ks+55,20m*15,0m*4,50m</t>
  </si>
  <si>
    <t>931182</t>
  </si>
  <si>
    <t>931183</t>
  </si>
  <si>
    <t>VÝZTUŽ VYROV A SPÁD BETONU Z OCELI 10505
Výztuž spřažené desky z oceli B5005                                                            2%*170,52m3*7,85t/m3</t>
  </si>
  <si>
    <t>ODSTRAN KRYTU VOZ A CHOD S ASFALT POJIVEM VČET PODKLADU
Stávající vrstvy vozovky v předpolí mostu tloušťky 500 mm, včetně odvozu                                                   15,8m2*0,50m*2ks</t>
  </si>
  <si>
    <t>96786a</t>
  </si>
  <si>
    <t>334125</t>
  </si>
  <si>
    <t>334366</t>
  </si>
  <si>
    <t>VÝZTUŽ MOST PILÍŘŮ A STATIV Z KARI-SÍTÍ                                                                                        4,30m2*7,90kg/m2*4ks</t>
  </si>
  <si>
    <t>261412</t>
  </si>
  <si>
    <t>VYKOPÁVKY ZE ZEMNÍKŮ A SKLÁDEK TŘ I
Natěžení a dovoz ornice Pol.č. 18220</t>
  </si>
  <si>
    <t>VYKOPÁVKY ZE ZEMNÍKŮ A SKLÁDEK TŘ I
Natěžení a dovoz zeminy Pol.č. 17411</t>
  </si>
  <si>
    <t>POPLATKY ZA SKLÁDKU
Poplatky za uložení odpadu na skládku, podkladní vrstvy vozovek a chodníků                              Pol.č. 11343        15,80m3*1,8 t/m3</t>
  </si>
  <si>
    <t>POPLATKY ZA SKLÁDKU
Poplatky za uložení odpadu na skládku, přebývající zemina z výkopů                                                         Pol.č. 13173 - Pol.č. 17411</t>
  </si>
  <si>
    <t>POPLATKY ZA SKLÁDKU
Poplatky za uložení odpadu na skládku, beton z bourání mostu                                                                       Pol.č. 96616        81,515m3*2,4 t/m3</t>
  </si>
  <si>
    <t>ODSTRANĚNÍ KŘOVIN
Nálety                                                                                                                                                  4*26,0m2</t>
  </si>
  <si>
    <t>ODSTRANĚNÍ CHODNÍKOVÝCH KAMENNÝCH OBRUBNÍKŮ                                        Kamenný obrubník u říms                                                                                                  65,1m+65,0m</t>
  </si>
  <si>
    <t>ULOŽENÍ SYPANINY DO NÁSYPŮ A NA SKLÁDKY BEZ ZHUT
Uložení ornice a zeminy z výkopů na mezideponii Pol.č. 12110 a Pol.č. 13173                                     Uložení přebytečné zeminy na skládku Pol.č. 13173 - Pol.č. 17411</t>
  </si>
  <si>
    <t>FRÉZOVÁNÍ VOZOVEK ASFALTOVÝCH                                                                                   Frézování vozovek v předpolí mostu                                                                                           (70,0m2+71,6m2)*0,1m</t>
  </si>
  <si>
    <t>TRATIVODY KOMPLET Z TRUB Z PLAST HMOT DN DO 150MM
Drenážní potrubí PVC DN 150 za opěrami                                                                                               9,40m*2ks</t>
  </si>
  <si>
    <t>VRTY PRO KOTVENÍ A INJEKTÁŽ TŘ IV NA POVRCHU D DO 16MM                                                       Vrty pro spřahující trny krycí desky stativ D16MM                 22ks*4ks*0,3m                                                                                                                   Vrty pro spřahující trny spřažené desky D16MM                   (2912ks+1656ks)*0,15m</t>
  </si>
  <si>
    <t>VRTY PRO KOTVENÍ A INJEKTÁŽ TŘ IV NA POVRCHU D DO 25MM
Vrty pro odvodnění nosníků D 25mm          0,15m*3ks*9ks*2ks*3ks                                                                         Vrty pro kotvy říms D 24mm                        67ks*2ks*0,2m                                                                             Vrty pro trny závěrných zídek D 24mm        49ks*2ks*2ks*0,5m                                                                  Vrty pro kotvení křídel D 24mm                   27ks*4ks*0,5m</t>
  </si>
  <si>
    <t>VRTY PRO KOTV, INJEKT, MIKROPIL NA POVRCHU TŘ IV D DO 80MM
Vrty pro odvodňovací trubky D 60mm         0,8m*18ks</t>
  </si>
  <si>
    <t>OPLÁŠTĚNÍ (ZPEVNĚNÍ) Z FÓLIE
Fólie na podkladním betonu v přechodové oblasti tl. 0,2 mm                                      1,0m*2ks*8,30m</t>
  </si>
  <si>
    <t>ŘÍMSY ZE ŽELEZOBETONU DO C30/37 (B37)
Římsy z betonu třídy C30/37-XF4+XD3                                                                      0,55m2*2ks*66,6m</t>
  </si>
  <si>
    <t>MOSTNÍ OPĚRY A KŘÍDLA ZE ŽELEZOVÉHO BETONU DO C30/37 (B37)                                                                             Závěrná zídka z betonu třídy C30/37-XF4+XD3          8,2m*2ks*0,7m2                                                            Křídla z betonu třídy C30/37-XF4+XD3                      3,05m*4ks*0,7m*1,0m</t>
  </si>
  <si>
    <t>VÝZTUŽ MOSTNÍCH OPĚR A KŘÍDEL Z OCELI 10505                                                                              Výztuž závěrných zídek z oceli B500B          3%*11,62m2*7,85t/m3                                                                                             Výztuž křídel z oceli B500B                          2%*8,54m2*7,85t/m3</t>
  </si>
  <si>
    <t>MOSTNÍ PILÍŘE A STATIVA Z DÍLCŮ ŽELEZOBETON DO C30/37 (B37)                                                   Betonová krycí deska                                                                                                  4,30m2*0,12m*4ks</t>
  </si>
  <si>
    <t>VOZOVKOVÉ VRSTVY ZE ŠTĚRKODRTI TL. DO 200MM
ŠD 0-32, tř. B, tl. 200 mm                                                                                                                              29,55m2+28,4m2</t>
  </si>
  <si>
    <t>INFILTRAČNÍ POSTŘIK ASFALTOVÝ DO 1,0KG/M2
PSE 0,80 kg/m2                                                                                                            105,0m2+103,0m2</t>
  </si>
  <si>
    <t>VYROVNÁVACÍ A SPÁDOVÝ ŽELEZOBETON C30/37
Spřažená deska C30/37-XF2+XD1                                                                                                                 2,9m2*58,8m</t>
  </si>
  <si>
    <t>ZPEVNĚNÍ KRAJNIC Z RECYKLOVANÉHO MATERIÁLU TL DO 150MM
R-materiál tl. 150 mm                                                                                                                                   4,5m2*4ks</t>
  </si>
  <si>
    <t>ASFALTOVÝ BETON TŘ.II TL. 40MM
ABS II, tloušťky 40 mm (ACO 11)                                                                                                              448m2</t>
  </si>
  <si>
    <t>ASFALTOVÝ BETON TŘ.II TL. 50MM
ABS II, tloušťky 50 mm (ACO 11)                                                                               105,0m2+103,0m2+448,0m2</t>
  </si>
  <si>
    <t>INJEKTÁŽ TRHLIN UZAVÍRACÍ
Opěry 80,0m*2ks                                                                                                                                           Nosníky 11ks*3m*3ks                                                                                                                                              Stativa a sloupy 22,5m*2ks</t>
  </si>
  <si>
    <t>SPÁROVÁNÍ STÁVAJÍCÍCH DLAŽEB CEMENT MALTOU
Spárování dlažby před opěrami                                                                                         4,50m*10,50m*2ks</t>
  </si>
  <si>
    <t>SPOJOVACÍ MŮSTEK MEZI STARÝM A NOVÝM BETONEM
Opěry 1,55m*10,15m*2ks                                                                                                                             Křídla 5,20m2*4ks                                                                                                                                                        Podhled nosné konstrukce  58,80m*10,15m                                                                                            Boky nosníků 8,20m*2ks+46,0m2*2ks                                                                                                Sloupy a stativa (2,90m*11,55m+0,6m2*2ks)*2ks+12,60m2*4ks*2ks</t>
  </si>
  <si>
    <t>IZOLACE MOSTOVEK CELOPLOŠNÁ ASFALTOVÝMI PÁSY S PEČETÍCÍ VRSTVOU                                                                                                           NAIP spřažené desky          10,15m*62,8m                                                                                                           NAIP závěrné zídky             2ks*1,5m*10,15m                                                                                          NAIP bezdilatačního spojení             2ks*1,5m*10,15m</t>
  </si>
  <si>
    <t>OCHRANA IZOLACE NA POVRCHU ASFALTOVÝMI PÁSY                                                                            Např. FOALBIT                                                                                                              1,40m*2ks*58,80m</t>
  </si>
  <si>
    <t>NÁTĚRY BETON KONSTR TYP OS - B
Ochranný nátěr římsy S2                                                                                             2,8m*2ks*66,6m</t>
  </si>
  <si>
    <t>NÁTĚRY BETON KONSTR TYP OS - C
Ochranný nátěr římsy S4          0,35m*2ks*66,6m                                                                                                    Viz. pol. č. 626310                  927,675m2</t>
  </si>
  <si>
    <t>POTRUBÍ Z TRUB PLAST ODPAD DN DO 200MM
Prodloužení vyústění potrubí skrz dřík křídel DN 180                                                                              1,05m * 2ks</t>
  </si>
  <si>
    <t>CHRÁNIČKY Z TRUB PLASTOVÝCH DN DO 100MM                                                       Rezervní chráničky do říms PVC DN 100                                                                                                     66,6m*2ks</t>
  </si>
  <si>
    <t>OCEL MOSTNÍ ZÁBRADLÍ ŽÁR ZINK PONOREM S NÁTĚREM
Ocelové mostní zábradlí se svislou výplní včetně kombinované PKO, kotvení                                             66,6m*2ks</t>
  </si>
  <si>
    <t>OCELOVÉ SILNIČNÍ SVODIDLO JEDNOSTRANNÉ SLOUPKY DO 4M POZINK
Ocelové silniční svodidlo                             4ks*12,0m                                                                                            Náběh ocelového silničního svodidla          2ks*8,0m</t>
  </si>
  <si>
    <t>CHODNÍKOVÉ OBRUBY Z BETONOVÝCH OBRUBNÍKŮ
Prefabrikovaný obrubník, 1000/250/150, C30/37-XF4, včetně betonového lože                                              7,0m*4ks</t>
  </si>
  <si>
    <t>ŘEZÁNÍ ASFALTOVÉHO KRYTU VOZOVEK TL DO 50MM
Pro zálivky tl. 30 mm          2ks*7,6m                                                                                                               Pro zálivky tl. 15 mm          4ks*7,6m</t>
  </si>
  <si>
    <t>VÝPLŇ DILATAČNÍCH SPAR Z POLYSTYRENU TL 20MM
Výplň dilatačních spár mezi nosníky nad pilíři                     1,0m*1,30m*4ks                                                                                                          Výplň dilatačních spár bezdilatačního spojení                    2,60m2*4ks                                                        Římsy                                                                                   0,55m2*16ks</t>
  </si>
  <si>
    <t>ŘEZÁNÍ ASFALT KRYTU VOZOVEK TL DO 100MM
Oddělující řez ve stávající vozovce                                                                                                             6,00m*2ks</t>
  </si>
  <si>
    <t>VÝPLŇ DILATAČNÍCH SPAR Z POLYSTYRENU TL 30MM
Výplň dilatačních spár mezi nosníky krajních polí a závěrnou zídkou                                       1,3m*10,50m*2ks                                                                                                                                             Římsy 0,55m2 * 4ks</t>
  </si>
  <si>
    <t>TĚSNĚNÍ DILATAČ SPAR POLYURETAN TMELEM
Těsnění dilatačních spár říms                                                                       (8ks*2,78m2)*2ks*0,02m*0,02m + (4ks*2,78m2)*0,02m*0,03m                                                                    Těsnění dilatačních spár bezdilatačního spoje                                                                    (4ks*10,65m)*0,015m*0,02m                                                                                                                      Těsnění dilatačních spár mezi nosníky                                                                    4ks*1,50m*0,02m*0,02m+ (4ks*1,50m+2ks*10,15m)*0,02m*0,03m</t>
  </si>
  <si>
    <t>DROBNÉ DOPLŇK KONSTR KOVOVÉ
Kotvy římsy                         6,05kg*67ks*2ks                                                                                                           Trny závěrných zídek          49ks*2ks*2ks*1,58kg/m*1,2                                                                                   Trny křídel                          54ks*0,157kg/m*1,2m                                                                                   Trny krycích desek stativ     22ks*4ks*0,45m*0,616kg/m                                                                             Trny spřažené desky           (2912ks+1656ks)*0,5m*0,616kg/m</t>
  </si>
  <si>
    <t>OČIŠTĚNÍ BETON KONSTR OTRYSKÁNÍM TLAK VODOU DO 500 BARŮ
Otryskání betonových ploch tlakovou vodou do 200 Bar.                                                                          757,49m2+596,82m2+170,19m2</t>
  </si>
  <si>
    <t>BOURÁNÍ KONSTRUKCÍ ZE ŽELEZOBETONU                                                                                            Sloupky zábradlí          0,1m2*1,1m*(34ks+34ks)                                                                                                                  Římsa                          0,15m2*65,1m+0,18m2*65,0m                                                                        Vyrovnávací deska       0,7m2*58,5m                                                                                                           Závěrné zídky              8,3m*2ks*0,7m2</t>
  </si>
  <si>
    <t>VYBOURÁNÍ MOST LOŽISEK                                                                                                  Nakonzervování stávajících úložných desek                                                                                                                       6ks*11ks</t>
  </si>
  <si>
    <t>ODSTRANĚNÍ KOVOVÉHO ZÁBRADLÍ                                                                                            Zábradlí - madla                                                                                                                                                              83,16m</t>
  </si>
  <si>
    <t xml:space="preserve">KRAJSKÁ SPRÁVA A ÚDRŽBA SILNIC KARLOVARSKÉHO KRAJE
Chebská 282
356 04 Sokolov </t>
  </si>
  <si>
    <t>ODSTRAN KRYTU VOZOVEK A CHOD Z DLAŽEB KOSTEK VČET PODKL
Žulové kostky na mostě (vozovka + chodníky)                                                                                                              445,22m2*0,15m+0,75m*2ks*65,0m*0,1</t>
  </si>
  <si>
    <t>02742</t>
  </si>
  <si>
    <t xml:space="preserve">PROVIZORNÍ LÁVKY
Zřízení lávky pro pěší a cyklisty min. šířky 1,50 m a délky 100 m včetně následného odstranění lávky. Lávka bude zřízena po dobu rekonstrukce mostu nad stávající nosnou konstrukcí.                          </t>
  </si>
  <si>
    <t xml:space="preserve">ASFALTOVÝ BETON TŘ.II TL. 50MM
ABS II, tloušťky 50 mm (ACO 11) pro kompletní vyspravení vozovky včetně vyplnění výtluku. Položka bude fakturována po odsouhlasení TDI.      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</si>
</sst>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&quot;  &quot;"/>
    <numFmt numFmtId="166" formatCode="#,##0.000&quot;  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&quot;  &quot;"/>
    <numFmt numFmtId="172" formatCode="#,##0.0000&quot;  &quot;"/>
  </numFmts>
  <fonts count="32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,Bold"/>
      <family val="0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 horizontal="center"/>
      <protection/>
    </xf>
    <xf numFmtId="0" fontId="4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horizontal="center"/>
      <protection/>
    </xf>
    <xf numFmtId="0" fontId="3" fillId="0" borderId="0">
      <alignment/>
      <protection/>
    </xf>
    <xf numFmtId="0" fontId="3" fillId="19" borderId="0">
      <alignment/>
      <protection/>
    </xf>
    <xf numFmtId="0" fontId="3" fillId="10" borderId="0">
      <alignment/>
      <protection/>
    </xf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3" fillId="0" borderId="0" xfId="37" applyFont="1" applyFill="1" applyAlignment="1">
      <alignment horizontal="left" vertical="center" wrapText="1" indent="1"/>
      <protection/>
    </xf>
    <xf numFmtId="0" fontId="24" fillId="0" borderId="0" xfId="37" applyFont="1" applyFill="1" applyBorder="1" applyAlignment="1">
      <alignment horizontal="left" vertical="center" wrapText="1" indent="1"/>
      <protection/>
    </xf>
    <xf numFmtId="0" fontId="25" fillId="0" borderId="10" xfId="56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5" fillId="24" borderId="10" xfId="57" applyFont="1" applyFill="1" applyBorder="1" applyAlignment="1">
      <alignment horizontal="center" vertical="center"/>
      <protection/>
    </xf>
    <xf numFmtId="49" fontId="25" fillId="24" borderId="10" xfId="57" applyNumberFormat="1" applyFont="1" applyFill="1" applyBorder="1" applyAlignment="1">
      <alignment horizontal="center" vertical="center"/>
      <protection/>
    </xf>
    <xf numFmtId="0" fontId="25" fillId="24" borderId="10" xfId="57" applyFont="1" applyFill="1" applyBorder="1" applyAlignment="1">
      <alignment horizontal="left" vertical="center" wrapText="1" indent="1"/>
      <protection/>
    </xf>
    <xf numFmtId="164" fontId="25" fillId="24" borderId="10" xfId="57" applyNumberFormat="1" applyFont="1" applyFill="1" applyBorder="1" applyAlignment="1">
      <alignment horizontal="right" vertical="center"/>
      <protection/>
    </xf>
    <xf numFmtId="165" fontId="25" fillId="24" borderId="10" xfId="57" applyNumberFormat="1" applyFont="1" applyFill="1" applyBorder="1" applyAlignment="1">
      <alignment horizontal="right" vertical="center"/>
      <protection/>
    </xf>
    <xf numFmtId="0" fontId="1" fillId="18" borderId="10" xfId="54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indent="1"/>
      <protection/>
    </xf>
    <xf numFmtId="0" fontId="1" fillId="0" borderId="10" xfId="54" applyFont="1" applyFill="1" applyBorder="1" applyAlignment="1">
      <alignment horizontal="left" vertical="center" wrapText="1" indent="1"/>
      <protection/>
    </xf>
    <xf numFmtId="0" fontId="1" fillId="0" borderId="10" xfId="54" applyFont="1" applyFill="1" applyBorder="1" applyAlignment="1">
      <alignment horizontal="center" vertical="center"/>
      <protection/>
    </xf>
    <xf numFmtId="166" fontId="1" fillId="0" borderId="10" xfId="54" applyNumberFormat="1" applyFont="1" applyFill="1" applyBorder="1" applyAlignment="1">
      <alignment horizontal="right" vertical="center"/>
      <protection/>
    </xf>
    <xf numFmtId="165" fontId="1" fillId="10" borderId="10" xfId="54" applyNumberFormat="1" applyFont="1" applyFill="1" applyBorder="1" applyAlignment="1">
      <alignment horizontal="right" vertical="center"/>
      <protection/>
    </xf>
    <xf numFmtId="165" fontId="1" fillId="0" borderId="10" xfId="54" applyNumberFormat="1" applyFont="1" applyFill="1" applyBorder="1" applyAlignment="1">
      <alignment horizontal="right" vertical="center"/>
      <protection/>
    </xf>
    <xf numFmtId="0" fontId="25" fillId="0" borderId="10" xfId="58" applyFont="1" applyFill="1" applyBorder="1" applyAlignment="1">
      <alignment horizontal="center" vertical="center"/>
      <protection/>
    </xf>
    <xf numFmtId="49" fontId="25" fillId="0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 wrapText="1" indent="1"/>
      <protection/>
    </xf>
    <xf numFmtId="166" fontId="25" fillId="0" borderId="10" xfId="58" applyNumberFormat="1" applyFont="1" applyFill="1" applyBorder="1" applyAlignment="1">
      <alignment horizontal="right" vertical="center"/>
      <protection/>
    </xf>
    <xf numFmtId="165" fontId="25" fillId="0" borderId="10" xfId="58" applyNumberFormat="1" applyFont="1" applyFill="1" applyBorder="1" applyAlignment="1">
      <alignment horizontal="right" vertical="center"/>
      <protection/>
    </xf>
    <xf numFmtId="166" fontId="25" fillId="24" borderId="10" xfId="57" applyNumberFormat="1" applyFont="1" applyFill="1" applyBorder="1" applyAlignment="1">
      <alignment horizontal="right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164" fontId="25" fillId="0" borderId="10" xfId="58" applyNumberFormat="1" applyFont="1" applyFill="1" applyBorder="1" applyAlignment="1">
      <alignment horizontal="right" vertical="center"/>
      <protection/>
    </xf>
    <xf numFmtId="4" fontId="25" fillId="0" borderId="10" xfId="58" applyNumberFormat="1" applyFont="1" applyFill="1" applyBorder="1" applyAlignment="1">
      <alignment horizontal="right" vertical="center"/>
      <protection/>
    </xf>
    <xf numFmtId="0" fontId="25" fillId="24" borderId="11" xfId="58" applyFont="1" applyFill="1" applyBorder="1" applyAlignment="1">
      <alignment horizontal="center" vertical="center"/>
      <protection/>
    </xf>
    <xf numFmtId="49" fontId="25" fillId="24" borderId="12" xfId="58" applyNumberFormat="1" applyFont="1" applyFill="1" applyBorder="1" applyAlignment="1">
      <alignment horizontal="center" vertical="center"/>
      <protection/>
    </xf>
    <xf numFmtId="0" fontId="25" fillId="24" borderId="12" xfId="58" applyFont="1" applyFill="1" applyBorder="1" applyAlignment="1">
      <alignment horizontal="left" vertical="center" wrapText="1" indent="1"/>
      <protection/>
    </xf>
    <xf numFmtId="0" fontId="25" fillId="24" borderId="12" xfId="58" applyFont="1" applyFill="1" applyBorder="1" applyAlignment="1">
      <alignment horizontal="center" vertical="center"/>
      <protection/>
    </xf>
    <xf numFmtId="166" fontId="25" fillId="24" borderId="12" xfId="58" applyNumberFormat="1" applyFont="1" applyFill="1" applyBorder="1" applyAlignment="1">
      <alignment horizontal="right" vertical="center"/>
      <protection/>
    </xf>
    <xf numFmtId="165" fontId="25" fillId="24" borderId="12" xfId="58" applyNumberFormat="1" applyFont="1" applyFill="1" applyBorder="1" applyAlignment="1">
      <alignment horizontal="right" vertical="center"/>
      <protection/>
    </xf>
    <xf numFmtId="165" fontId="25" fillId="24" borderId="13" xfId="58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25" fillId="0" borderId="1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25" fillId="0" borderId="15" xfId="58" applyFont="1" applyFill="1" applyBorder="1" applyAlignment="1">
      <alignment horizontal="left" vertical="center" wrapText="1" indent="1"/>
      <protection/>
    </xf>
    <xf numFmtId="0" fontId="1" fillId="0" borderId="15" xfId="0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right" vertical="center"/>
    </xf>
    <xf numFmtId="165" fontId="1" fillId="0" borderId="15" xfId="0" applyNumberFormat="1" applyFont="1" applyFill="1" applyBorder="1" applyAlignment="1">
      <alignment horizontal="right" vertical="center"/>
    </xf>
    <xf numFmtId="165" fontId="25" fillId="0" borderId="16" xfId="0" applyNumberFormat="1" applyFont="1" applyFill="1" applyBorder="1" applyAlignment="1">
      <alignment horizontal="right" vertical="center"/>
    </xf>
    <xf numFmtId="0" fontId="1" fillId="18" borderId="10" xfId="57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left" vertical="center" wrapText="1" indent="1"/>
      <protection/>
    </xf>
    <xf numFmtId="165" fontId="1" fillId="25" borderId="10" xfId="54" applyNumberFormat="1" applyFont="1" applyFill="1" applyBorder="1" applyAlignment="1">
      <alignment horizontal="right" vertical="center"/>
      <protection/>
    </xf>
    <xf numFmtId="0" fontId="1" fillId="26" borderId="10" xfId="54" applyFont="1" applyFill="1" applyBorder="1" applyAlignment="1">
      <alignment horizontal="center" vertical="center"/>
      <protection/>
    </xf>
    <xf numFmtId="0" fontId="22" fillId="0" borderId="0" xfId="36" applyFont="1" applyFill="1" applyBorder="1" applyAlignment="1">
      <alignment horizontal="left" vertical="center" indent="1"/>
      <protection/>
    </xf>
    <xf numFmtId="165" fontId="25" fillId="24" borderId="10" xfId="57" applyNumberFormat="1" applyFont="1" applyFill="1" applyBorder="1" applyAlignment="1">
      <alignment horizontal="center" vertical="center"/>
      <protection/>
    </xf>
    <xf numFmtId="166" fontId="1" fillId="0" borderId="10" xfId="54" applyNumberFormat="1" applyFont="1" applyFill="1" applyBorder="1" applyAlignment="1">
      <alignment horizontal="center" vertical="center"/>
      <protection/>
    </xf>
    <xf numFmtId="164" fontId="25" fillId="24" borderId="10" xfId="57" applyNumberFormat="1" applyFont="1" applyFill="1" applyBorder="1" applyAlignment="1">
      <alignment horizontal="center" vertical="center"/>
      <protection/>
    </xf>
    <xf numFmtId="165" fontId="25" fillId="10" borderId="10" xfId="54" applyNumberFormat="1" applyFont="1" applyFill="1" applyBorder="1" applyAlignment="1">
      <alignment horizontal="center" vertical="center"/>
      <protection/>
    </xf>
    <xf numFmtId="165" fontId="31" fillId="27" borderId="0" xfId="0" applyNumberFormat="1" applyFont="1" applyFill="1" applyAlignment="1">
      <alignment horizontal="center" vertical="center"/>
    </xf>
    <xf numFmtId="0" fontId="23" fillId="0" borderId="0" xfId="37" applyFont="1" applyFill="1" applyAlignment="1">
      <alignment horizontal="left" vertical="center" wrapText="1"/>
      <protection/>
    </xf>
    <xf numFmtId="0" fontId="1" fillId="18" borderId="11" xfId="54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49" fontId="25" fillId="24" borderId="11" xfId="57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0" xfId="38" applyFont="1" applyFill="1" applyBorder="1" applyAlignment="1">
      <alignment horizontal="center" vertical="center" wrapText="1"/>
      <protection/>
    </xf>
    <xf numFmtId="0" fontId="22" fillId="0" borderId="0" xfId="36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25" fillId="0" borderId="11" xfId="56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vertical="center"/>
    </xf>
    <xf numFmtId="0" fontId="25" fillId="0" borderId="10" xfId="56" applyFont="1" applyFill="1" applyBorder="1" applyAlignment="1">
      <alignment horizontal="center" vertical="center"/>
      <protection/>
    </xf>
    <xf numFmtId="0" fontId="1" fillId="18" borderId="10" xfId="54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indent="1"/>
      <protection/>
    </xf>
    <xf numFmtId="0" fontId="1" fillId="0" borderId="10" xfId="54" applyFont="1" applyFill="1" applyBorder="1" applyAlignment="1">
      <alignment horizontal="left" vertical="center" wrapText="1" indent="1"/>
      <protection/>
    </xf>
    <xf numFmtId="0" fontId="1" fillId="0" borderId="10" xfId="54" applyFont="1" applyFill="1" applyBorder="1" applyAlignment="1">
      <alignment horizontal="center" vertical="center"/>
      <protection/>
    </xf>
    <xf numFmtId="166" fontId="1" fillId="0" borderId="10" xfId="54" applyNumberFormat="1" applyFont="1" applyFill="1" applyBorder="1" applyAlignment="1">
      <alignment horizontal="right" vertical="center"/>
      <protection/>
    </xf>
    <xf numFmtId="165" fontId="1" fillId="10" borderId="10" xfId="54" applyNumberFormat="1" applyFont="1" applyFill="1" applyBorder="1" applyAlignment="1">
      <alignment horizontal="right" vertical="center"/>
      <protection/>
    </xf>
    <xf numFmtId="165" fontId="1" fillId="0" borderId="10" xfId="54" applyNumberFormat="1" applyFont="1" applyFill="1" applyBorder="1" applyAlignment="1">
      <alignment horizontal="right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lavicka" xfId="36"/>
    <cellStyle name="hlavickatucne" xfId="37"/>
    <cellStyle name="hlavickatucnecentrum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dpolozka" xfId="49"/>
    <cellStyle name="Poznámka" xfId="50"/>
    <cellStyle name="Percent" xfId="51"/>
    <cellStyle name="Propojená buňka" xfId="52"/>
    <cellStyle name="Správně" xfId="53"/>
    <cellStyle name="text" xfId="54"/>
    <cellStyle name="Text upozornění" xfId="55"/>
    <cellStyle name="textcentrum" xfId="56"/>
    <cellStyle name="texttucne" xfId="57"/>
    <cellStyle name="TucneGrayBack" xfId="58"/>
    <cellStyle name="TucneGreenBack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F9" sqref="F9"/>
    </sheetView>
  </sheetViews>
  <sheetFormatPr defaultColWidth="9.00390625" defaultRowHeight="30" customHeight="1"/>
  <cols>
    <col min="1" max="1" width="7.7109375" style="1" customWidth="1"/>
    <col min="2" max="2" width="15.28125" style="2" customWidth="1"/>
    <col min="3" max="3" width="76.57421875" style="3" customWidth="1"/>
    <col min="4" max="4" width="23.28125" style="2" customWidth="1"/>
    <col min="5" max="5" width="19.140625" style="1" customWidth="1"/>
    <col min="6" max="6" width="24.7109375" style="1" customWidth="1"/>
    <col min="7" max="8" width="9.00390625" style="1" customWidth="1"/>
    <col min="9" max="9" width="15.28125" style="2" customWidth="1"/>
    <col min="10" max="16384" width="9.00390625" style="1" customWidth="1"/>
  </cols>
  <sheetData>
    <row r="1" spans="1:6" ht="27.75" customHeight="1">
      <c r="A1" s="68" t="s">
        <v>134</v>
      </c>
      <c r="B1" s="68"/>
      <c r="C1" s="68"/>
      <c r="D1" s="68"/>
      <c r="E1" s="68"/>
      <c r="F1" s="68"/>
    </row>
    <row r="2" spans="1:3" ht="27.75" customHeight="1">
      <c r="A2" s="69" t="s">
        <v>20</v>
      </c>
      <c r="B2" s="69"/>
      <c r="C2" s="4" t="s">
        <v>130</v>
      </c>
    </row>
    <row r="3" spans="1:3" ht="27.75" customHeight="1">
      <c r="A3" s="69" t="s">
        <v>135</v>
      </c>
      <c r="B3" s="69"/>
      <c r="C3" s="70"/>
    </row>
    <row r="4" spans="1:3" ht="58.5" customHeight="1">
      <c r="A4" s="69" t="s">
        <v>22</v>
      </c>
      <c r="B4" s="69"/>
      <c r="C4" s="62" t="s">
        <v>246</v>
      </c>
    </row>
    <row r="5" spans="1:6" ht="24.75" customHeight="1">
      <c r="A5" s="56"/>
      <c r="B5" s="56"/>
      <c r="C5" s="4"/>
      <c r="D5" s="73" t="s">
        <v>143</v>
      </c>
      <c r="E5" s="74"/>
      <c r="F5" s="61">
        <f>SUM(D9:D11)</f>
        <v>0</v>
      </c>
    </row>
    <row r="6" spans="1:6" ht="24.75" customHeight="1">
      <c r="A6" s="56"/>
      <c r="B6" s="56"/>
      <c r="C6" s="4"/>
      <c r="D6" s="73" t="s">
        <v>144</v>
      </c>
      <c r="E6" s="74"/>
      <c r="F6" s="61">
        <f>SUM(F9:F11)</f>
        <v>0</v>
      </c>
    </row>
    <row r="7" spans="1:6" ht="16.5" customHeight="1">
      <c r="A7" s="71" t="s">
        <v>136</v>
      </c>
      <c r="B7" s="72"/>
      <c r="C7" s="7" t="s">
        <v>137</v>
      </c>
      <c r="D7" s="6" t="s">
        <v>140</v>
      </c>
      <c r="E7" s="6" t="s">
        <v>141</v>
      </c>
      <c r="F7" s="6" t="s">
        <v>142</v>
      </c>
    </row>
    <row r="8" spans="1:6" ht="33.75" customHeight="1">
      <c r="A8" s="65" t="s">
        <v>139</v>
      </c>
      <c r="B8" s="66"/>
      <c r="C8" s="67"/>
      <c r="D8" s="8"/>
      <c r="E8" s="11"/>
      <c r="F8" s="12"/>
    </row>
    <row r="9" spans="1:6" ht="45" customHeight="1">
      <c r="A9" s="63">
        <v>151</v>
      </c>
      <c r="B9" s="64"/>
      <c r="C9" s="15" t="s">
        <v>138</v>
      </c>
      <c r="D9" s="58">
        <f>'SO 151 - DIO'!G12</f>
        <v>0</v>
      </c>
      <c r="E9" s="58">
        <f>D9/100*21</f>
        <v>0</v>
      </c>
      <c r="F9" s="60">
        <f>D9+E9</f>
        <v>0</v>
      </c>
    </row>
    <row r="10" spans="1:6" ht="33.75" customHeight="1">
      <c r="A10" s="65" t="s">
        <v>147</v>
      </c>
      <c r="B10" s="66"/>
      <c r="C10" s="67"/>
      <c r="D10" s="8"/>
      <c r="E10" s="59"/>
      <c r="F10" s="57"/>
    </row>
    <row r="11" spans="1:6" ht="45" customHeight="1">
      <c r="A11" s="63">
        <v>201</v>
      </c>
      <c r="B11" s="64"/>
      <c r="C11" s="15" t="s">
        <v>145</v>
      </c>
      <c r="D11" s="58">
        <f>'SO 201 - Modernizace mostu'!G114</f>
        <v>0</v>
      </c>
      <c r="E11" s="58">
        <f>D11/100*21</f>
        <v>0</v>
      </c>
      <c r="F11" s="60">
        <f>D11+E11</f>
        <v>0</v>
      </c>
    </row>
  </sheetData>
  <sheetProtection selectLockedCells="1" selectUnlockedCells="1"/>
  <mergeCells count="11">
    <mergeCell ref="D6:E6"/>
    <mergeCell ref="A9:B9"/>
    <mergeCell ref="A11:B11"/>
    <mergeCell ref="A8:C8"/>
    <mergeCell ref="A10:C10"/>
    <mergeCell ref="A1:F1"/>
    <mergeCell ref="A2:B2"/>
    <mergeCell ref="A4:B4"/>
    <mergeCell ref="A3:C3"/>
    <mergeCell ref="A7:B7"/>
    <mergeCell ref="D5:E5"/>
  </mergeCells>
  <printOptions horizontalCentered="1"/>
  <pageMargins left="0.7875" right="0.7875" top="0.39375" bottom="0.7291666666666666" header="0.5118055555555555" footer="0.39375"/>
  <pageSetup fitToHeight="6" fitToWidth="1" horizontalDpi="300" verticalDpi="300" orientation="landscape" paperSize="9" scale="79" r:id="rId1"/>
  <headerFooter alignWithMargins="0">
    <oddFooter>&amp;LSoupis prací&amp;RStrana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5" zoomScaleNormal="75" zoomScalePageLayoutView="0" workbookViewId="0" topLeftCell="A1">
      <pane ySplit="6" topLeftCell="A10" activePane="bottomLeft" state="frozen"/>
      <selection pane="topLeft" activeCell="A1" sqref="A1"/>
      <selection pane="bottomLeft" activeCell="K13" sqref="K13"/>
    </sheetView>
  </sheetViews>
  <sheetFormatPr defaultColWidth="9.00390625" defaultRowHeight="30" customHeight="1"/>
  <cols>
    <col min="1" max="1" width="7.7109375" style="1" customWidth="1"/>
    <col min="2" max="2" width="15.28125" style="2" customWidth="1"/>
    <col min="3" max="3" width="76.57421875" style="3" customWidth="1"/>
    <col min="4" max="4" width="12.7109375" style="2" customWidth="1"/>
    <col min="5" max="6" width="12.7109375" style="1" customWidth="1"/>
    <col min="7" max="7" width="14.00390625" style="1" customWidth="1"/>
    <col min="8" max="9" width="9.00390625" style="1" customWidth="1"/>
    <col min="10" max="10" width="15.28125" style="2" customWidth="1"/>
    <col min="11" max="16384" width="9.00390625" style="1" customWidth="1"/>
  </cols>
  <sheetData>
    <row r="1" spans="1:3" ht="27.75" customHeight="1">
      <c r="A1" s="69" t="s">
        <v>20</v>
      </c>
      <c r="B1" s="69"/>
      <c r="C1" s="4" t="s">
        <v>130</v>
      </c>
    </row>
    <row r="2" spans="1:3" ht="27.75" customHeight="1">
      <c r="A2" s="69" t="s">
        <v>21</v>
      </c>
      <c r="B2" s="69"/>
      <c r="C2" s="5" t="s">
        <v>131</v>
      </c>
    </row>
    <row r="3" spans="1:3" ht="66.75" customHeight="1">
      <c r="A3" s="69" t="s">
        <v>22</v>
      </c>
      <c r="B3" s="69"/>
      <c r="C3" s="4" t="s">
        <v>246</v>
      </c>
    </row>
    <row r="4" spans="1:7" ht="16.5" customHeight="1">
      <c r="A4" s="6" t="s">
        <v>23</v>
      </c>
      <c r="B4" s="6" t="s">
        <v>24</v>
      </c>
      <c r="C4" s="7" t="s">
        <v>25</v>
      </c>
      <c r="D4" s="6" t="s">
        <v>26</v>
      </c>
      <c r="E4" s="6" t="s">
        <v>27</v>
      </c>
      <c r="F4" s="75" t="s">
        <v>28</v>
      </c>
      <c r="G4" s="75"/>
    </row>
    <row r="5" spans="1:7" ht="16.5" customHeight="1">
      <c r="A5" s="6" t="s">
        <v>29</v>
      </c>
      <c r="B5" s="6" t="s">
        <v>30</v>
      </c>
      <c r="C5" s="7"/>
      <c r="D5" s="6"/>
      <c r="E5" s="6" t="s">
        <v>31</v>
      </c>
      <c r="F5" s="6" t="s">
        <v>32</v>
      </c>
      <c r="G5" s="6" t="s">
        <v>33</v>
      </c>
    </row>
    <row r="6" spans="1:7" ht="16.5" customHeight="1">
      <c r="A6" s="6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6">
        <v>7</v>
      </c>
    </row>
    <row r="7" spans="1:7" ht="33.75" customHeight="1">
      <c r="A7" s="8"/>
      <c r="B7" s="9" t="s">
        <v>34</v>
      </c>
      <c r="C7" s="10" t="s">
        <v>35</v>
      </c>
      <c r="D7" s="8"/>
      <c r="E7" s="11"/>
      <c r="F7" s="12"/>
      <c r="G7" s="12"/>
    </row>
    <row r="8" spans="1:7" ht="45" customHeight="1">
      <c r="A8" s="13">
        <v>1</v>
      </c>
      <c r="B8" s="14" t="s">
        <v>132</v>
      </c>
      <c r="C8" s="15" t="s">
        <v>133</v>
      </c>
      <c r="D8" s="16" t="s">
        <v>41</v>
      </c>
      <c r="E8" s="17">
        <v>1</v>
      </c>
      <c r="F8" s="18"/>
      <c r="G8" s="19">
        <f>ROUND(E8*F8,1)</f>
        <v>0</v>
      </c>
    </row>
    <row r="9" spans="1:7" ht="57" customHeight="1">
      <c r="A9" s="76">
        <v>1</v>
      </c>
      <c r="B9" s="77" t="s">
        <v>248</v>
      </c>
      <c r="C9" s="78" t="s">
        <v>249</v>
      </c>
      <c r="D9" s="79" t="s">
        <v>50</v>
      </c>
      <c r="E9" s="80">
        <v>150</v>
      </c>
      <c r="F9" s="81"/>
      <c r="G9" s="82">
        <f>F9*E9</f>
        <v>0</v>
      </c>
    </row>
    <row r="10" spans="1:7" ht="45" customHeight="1">
      <c r="A10" s="76">
        <v>1</v>
      </c>
      <c r="B10" s="77" t="s">
        <v>2</v>
      </c>
      <c r="C10" s="78" t="s">
        <v>250</v>
      </c>
      <c r="D10" s="79" t="s">
        <v>50</v>
      </c>
      <c r="E10" s="80">
        <v>100</v>
      </c>
      <c r="F10" s="81"/>
      <c r="G10" s="82">
        <f>F10*E10</f>
        <v>0</v>
      </c>
    </row>
    <row r="11" spans="1:10" ht="39.75" customHeight="1">
      <c r="A11" s="20"/>
      <c r="B11" s="21"/>
      <c r="C11" s="22" t="s">
        <v>45</v>
      </c>
      <c r="D11" s="20"/>
      <c r="E11" s="23"/>
      <c r="F11" s="24"/>
      <c r="G11" s="24">
        <f>SUM(G8:G10)</f>
        <v>0</v>
      </c>
      <c r="J11" s="1"/>
    </row>
    <row r="12" spans="1:7" ht="30" customHeight="1">
      <c r="A12" s="31"/>
      <c r="B12" s="32"/>
      <c r="C12" s="33" t="s">
        <v>87</v>
      </c>
      <c r="D12" s="34"/>
      <c r="E12" s="35"/>
      <c r="F12" s="36"/>
      <c r="G12" s="37">
        <f>G11</f>
        <v>0</v>
      </c>
    </row>
    <row r="13" spans="1:7" ht="30" customHeight="1">
      <c r="A13" s="38"/>
      <c r="B13" s="39"/>
      <c r="C13" s="40" t="s">
        <v>107</v>
      </c>
      <c r="D13" s="41"/>
      <c r="E13" s="42"/>
      <c r="F13" s="43"/>
      <c r="G13" s="44">
        <f>ROUNDUP(G12*0.21,1)</f>
        <v>0</v>
      </c>
    </row>
    <row r="14" spans="1:7" ht="30" customHeight="1">
      <c r="A14" s="45"/>
      <c r="B14" s="46"/>
      <c r="C14" s="47" t="s">
        <v>88</v>
      </c>
      <c r="D14" s="48"/>
      <c r="E14" s="49"/>
      <c r="F14" s="50"/>
      <c r="G14" s="51">
        <f>G12+G13</f>
        <v>0</v>
      </c>
    </row>
  </sheetData>
  <sheetProtection selectLockedCells="1" selectUnlockedCells="1"/>
  <mergeCells count="4">
    <mergeCell ref="A1:B1"/>
    <mergeCell ref="A2:B2"/>
    <mergeCell ref="A3:B3"/>
    <mergeCell ref="F4:G4"/>
  </mergeCells>
  <printOptions horizontalCentered="1"/>
  <pageMargins left="0.7875" right="0.7875" top="0.39375" bottom="0.7291666666666666" header="0.5118055555555555" footer="0.39375"/>
  <pageSetup fitToHeight="6" fitToWidth="1" horizontalDpi="300" verticalDpi="300" orientation="landscape" paperSize="9" scale="85" r:id="rId1"/>
  <headerFooter alignWithMargins="0">
    <oddFooter>&amp;LSoupis prací&amp;RStrana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75" zoomScaleNormal="75" zoomScalePageLayoutView="0" workbookViewId="0" topLeftCell="A1">
      <pane ySplit="6" topLeftCell="A16" activePane="bottomLeft" state="frozen"/>
      <selection pane="topLeft" activeCell="A1" sqref="A1"/>
      <selection pane="bottomLeft" activeCell="L19" sqref="L19"/>
    </sheetView>
  </sheetViews>
  <sheetFormatPr defaultColWidth="9.00390625" defaultRowHeight="30" customHeight="1"/>
  <cols>
    <col min="1" max="1" width="7.7109375" style="1" customWidth="1"/>
    <col min="2" max="2" width="15.28125" style="2" customWidth="1"/>
    <col min="3" max="3" width="76.57421875" style="3" customWidth="1"/>
    <col min="4" max="4" width="12.7109375" style="2" customWidth="1"/>
    <col min="5" max="6" width="12.7109375" style="1" customWidth="1"/>
    <col min="7" max="7" width="16.7109375" style="1" customWidth="1"/>
    <col min="8" max="9" width="9.00390625" style="1" customWidth="1"/>
    <col min="10" max="10" width="15.28125" style="2" customWidth="1"/>
    <col min="11" max="16384" width="9.00390625" style="1" customWidth="1"/>
  </cols>
  <sheetData>
    <row r="1" spans="1:3" ht="27.75" customHeight="1">
      <c r="A1" s="69" t="s">
        <v>20</v>
      </c>
      <c r="B1" s="69"/>
      <c r="C1" s="4" t="s">
        <v>130</v>
      </c>
    </row>
    <row r="2" spans="1:3" ht="27.75" customHeight="1">
      <c r="A2" s="69" t="s">
        <v>21</v>
      </c>
      <c r="B2" s="69"/>
      <c r="C2" s="5" t="s">
        <v>146</v>
      </c>
    </row>
    <row r="3" spans="1:3" ht="48" customHeight="1">
      <c r="A3" s="69" t="s">
        <v>22</v>
      </c>
      <c r="B3" s="69"/>
      <c r="C3" s="4" t="s">
        <v>246</v>
      </c>
    </row>
    <row r="4" spans="1:7" ht="16.5" customHeight="1">
      <c r="A4" s="6" t="s">
        <v>23</v>
      </c>
      <c r="B4" s="6" t="s">
        <v>24</v>
      </c>
      <c r="C4" s="7" t="s">
        <v>25</v>
      </c>
      <c r="D4" s="6" t="s">
        <v>26</v>
      </c>
      <c r="E4" s="6" t="s">
        <v>27</v>
      </c>
      <c r="F4" s="75" t="s">
        <v>28</v>
      </c>
      <c r="G4" s="75"/>
    </row>
    <row r="5" spans="1:7" ht="16.5" customHeight="1">
      <c r="A5" s="6" t="s">
        <v>29</v>
      </c>
      <c r="B5" s="6" t="s">
        <v>30</v>
      </c>
      <c r="C5" s="7"/>
      <c r="D5" s="6"/>
      <c r="E5" s="6" t="s">
        <v>31</v>
      </c>
      <c r="F5" s="6" t="s">
        <v>32</v>
      </c>
      <c r="G5" s="6" t="s">
        <v>33</v>
      </c>
    </row>
    <row r="6" spans="1:7" ht="16.5" customHeight="1">
      <c r="A6" s="6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6">
        <v>7</v>
      </c>
    </row>
    <row r="7" spans="1:7" ht="33.75" customHeight="1">
      <c r="A7" s="8"/>
      <c r="B7" s="9" t="s">
        <v>34</v>
      </c>
      <c r="C7" s="10" t="s">
        <v>35</v>
      </c>
      <c r="D7" s="8"/>
      <c r="E7" s="11"/>
      <c r="F7" s="12"/>
      <c r="G7" s="12"/>
    </row>
    <row r="8" spans="1:7" ht="45" customHeight="1">
      <c r="A8" s="13">
        <v>1</v>
      </c>
      <c r="B8" s="14" t="s">
        <v>36</v>
      </c>
      <c r="C8" s="15" t="s">
        <v>203</v>
      </c>
      <c r="D8" s="16" t="s">
        <v>37</v>
      </c>
      <c r="E8" s="17">
        <f>E25-E27</f>
        <v>29.92</v>
      </c>
      <c r="F8" s="18"/>
      <c r="G8" s="19">
        <f aca="true" t="shared" si="0" ref="G8:G13">ROUND(E8*F8,1)</f>
        <v>0</v>
      </c>
    </row>
    <row r="9" spans="1:7" ht="63" customHeight="1">
      <c r="A9" s="13">
        <v>2</v>
      </c>
      <c r="B9" s="14" t="s">
        <v>38</v>
      </c>
      <c r="C9" s="15" t="s">
        <v>202</v>
      </c>
      <c r="D9" s="16" t="s">
        <v>39</v>
      </c>
      <c r="E9" s="17">
        <f>E18*1.8</f>
        <v>28.44</v>
      </c>
      <c r="F9" s="18"/>
      <c r="G9" s="19">
        <f t="shared" si="0"/>
        <v>0</v>
      </c>
    </row>
    <row r="10" spans="1:7" ht="45" customHeight="1">
      <c r="A10" s="55">
        <v>3</v>
      </c>
      <c r="B10" s="14" t="s">
        <v>40</v>
      </c>
      <c r="C10" s="15" t="s">
        <v>204</v>
      </c>
      <c r="D10" s="16" t="s">
        <v>39</v>
      </c>
      <c r="E10" s="17">
        <f>E109*2.4</f>
        <v>195.636</v>
      </c>
      <c r="F10" s="54"/>
      <c r="G10" s="19">
        <f t="shared" si="0"/>
        <v>0</v>
      </c>
    </row>
    <row r="11" spans="1:7" ht="45" customHeight="1">
      <c r="A11" s="13">
        <v>4</v>
      </c>
      <c r="B11" s="14" t="s">
        <v>42</v>
      </c>
      <c r="C11" s="15" t="s">
        <v>43</v>
      </c>
      <c r="D11" s="16" t="s">
        <v>41</v>
      </c>
      <c r="E11" s="17">
        <v>1</v>
      </c>
      <c r="F11" s="18"/>
      <c r="G11" s="19">
        <f t="shared" si="0"/>
        <v>0</v>
      </c>
    </row>
    <row r="12" spans="1:7" ht="45" customHeight="1">
      <c r="A12" s="13">
        <v>5</v>
      </c>
      <c r="B12" s="14" t="s">
        <v>44</v>
      </c>
      <c r="C12" s="15" t="s">
        <v>89</v>
      </c>
      <c r="D12" s="16" t="s">
        <v>41</v>
      </c>
      <c r="E12" s="17">
        <v>1</v>
      </c>
      <c r="F12" s="18"/>
      <c r="G12" s="19">
        <f t="shared" si="0"/>
        <v>0</v>
      </c>
    </row>
    <row r="13" spans="1:7" ht="45" customHeight="1">
      <c r="A13" s="13">
        <v>6</v>
      </c>
      <c r="B13" s="14" t="s">
        <v>180</v>
      </c>
      <c r="C13" s="15" t="s">
        <v>181</v>
      </c>
      <c r="D13" s="16" t="s">
        <v>41</v>
      </c>
      <c r="E13" s="17">
        <v>1</v>
      </c>
      <c r="F13" s="18"/>
      <c r="G13" s="19">
        <f t="shared" si="0"/>
        <v>0</v>
      </c>
    </row>
    <row r="14" spans="1:7" ht="45" customHeight="1">
      <c r="A14" s="13">
        <v>7</v>
      </c>
      <c r="B14" s="14" t="s">
        <v>182</v>
      </c>
      <c r="C14" s="15" t="s">
        <v>183</v>
      </c>
      <c r="D14" s="16" t="s">
        <v>41</v>
      </c>
      <c r="E14" s="17">
        <v>1</v>
      </c>
      <c r="F14" s="18"/>
      <c r="G14" s="19">
        <f>ROUND(E14*F14,1)</f>
        <v>0</v>
      </c>
    </row>
    <row r="15" spans="1:7" ht="27.75" customHeight="1">
      <c r="A15" s="20"/>
      <c r="B15" s="21"/>
      <c r="C15" s="22" t="s">
        <v>45</v>
      </c>
      <c r="D15" s="20"/>
      <c r="E15" s="23"/>
      <c r="F15" s="24"/>
      <c r="G15" s="24">
        <f>SUM(G8:G14)</f>
        <v>0</v>
      </c>
    </row>
    <row r="16" spans="1:7" ht="33.75" customHeight="1">
      <c r="A16" s="8"/>
      <c r="B16" s="9" t="s">
        <v>46</v>
      </c>
      <c r="C16" s="10" t="s">
        <v>47</v>
      </c>
      <c r="D16" s="8"/>
      <c r="E16" s="25"/>
      <c r="F16" s="12"/>
      <c r="G16" s="12"/>
    </row>
    <row r="17" spans="1:7" ht="45" customHeight="1">
      <c r="A17" s="13">
        <v>8</v>
      </c>
      <c r="B17" s="14" t="s">
        <v>94</v>
      </c>
      <c r="C17" s="15" t="s">
        <v>205</v>
      </c>
      <c r="D17" s="16" t="s">
        <v>50</v>
      </c>
      <c r="E17" s="17">
        <f>4*26</f>
        <v>104</v>
      </c>
      <c r="F17" s="18"/>
      <c r="G17" s="19">
        <f>ROUND(E17*F17,1)</f>
        <v>0</v>
      </c>
    </row>
    <row r="18" spans="1:7" ht="45" customHeight="1">
      <c r="A18" s="13">
        <v>9</v>
      </c>
      <c r="B18" s="14" t="s">
        <v>109</v>
      </c>
      <c r="C18" s="15" t="s">
        <v>194</v>
      </c>
      <c r="D18" s="16" t="s">
        <v>37</v>
      </c>
      <c r="E18" s="17">
        <f>15.8*0.5*2</f>
        <v>15.8</v>
      </c>
      <c r="F18" s="18"/>
      <c r="G18" s="19">
        <f aca="true" t="shared" si="1" ref="G18:G30">ROUND(E18*F18,1)</f>
        <v>0</v>
      </c>
    </row>
    <row r="19" spans="1:7" ht="45" customHeight="1">
      <c r="A19" s="13">
        <v>10</v>
      </c>
      <c r="B19" s="14" t="s">
        <v>111</v>
      </c>
      <c r="C19" s="15" t="s">
        <v>247</v>
      </c>
      <c r="D19" s="16" t="s">
        <v>37</v>
      </c>
      <c r="E19" s="17">
        <f>445.22*0.15+0.75*2*65*0.1</f>
        <v>76.533</v>
      </c>
      <c r="F19" s="18"/>
      <c r="G19" s="19">
        <f t="shared" si="1"/>
        <v>0</v>
      </c>
    </row>
    <row r="20" spans="1:7" ht="45" customHeight="1">
      <c r="A20" s="13">
        <v>11</v>
      </c>
      <c r="B20" s="14" t="s">
        <v>112</v>
      </c>
      <c r="C20" s="15" t="s">
        <v>206</v>
      </c>
      <c r="D20" s="16" t="s">
        <v>55</v>
      </c>
      <c r="E20" s="17">
        <f>65.1+65</f>
        <v>130.1</v>
      </c>
      <c r="F20" s="18"/>
      <c r="G20" s="19">
        <f>ROUND(E20*F20,1)</f>
        <v>0</v>
      </c>
    </row>
    <row r="21" spans="1:7" ht="45" customHeight="1">
      <c r="A21" s="13">
        <v>12</v>
      </c>
      <c r="B21" s="14" t="s">
        <v>11</v>
      </c>
      <c r="C21" s="15" t="s">
        <v>208</v>
      </c>
      <c r="D21" s="16" t="s">
        <v>37</v>
      </c>
      <c r="E21" s="17">
        <f>(70+71.6)*0.1</f>
        <v>14.16</v>
      </c>
      <c r="F21" s="18"/>
      <c r="G21" s="19">
        <f>ROUND(E21*F21,1)</f>
        <v>0</v>
      </c>
    </row>
    <row r="22" spans="1:7" ht="45" customHeight="1">
      <c r="A22" s="13">
        <v>13</v>
      </c>
      <c r="B22" s="14" t="s">
        <v>172</v>
      </c>
      <c r="C22" s="15" t="s">
        <v>173</v>
      </c>
      <c r="D22" s="16" t="s">
        <v>37</v>
      </c>
      <c r="E22" s="17">
        <f>5*3*1.3*4*0.1</f>
        <v>7.800000000000001</v>
      </c>
      <c r="F22" s="18"/>
      <c r="G22" s="19">
        <f>ROUND(E22*F22,1)</f>
        <v>0</v>
      </c>
    </row>
    <row r="23" spans="1:7" ht="45" customHeight="1">
      <c r="A23" s="13">
        <v>14</v>
      </c>
      <c r="B23" s="14" t="s">
        <v>92</v>
      </c>
      <c r="C23" s="15" t="s">
        <v>200</v>
      </c>
      <c r="D23" s="16" t="s">
        <v>37</v>
      </c>
      <c r="E23" s="17">
        <f>E29</f>
        <v>7.800000000000001</v>
      </c>
      <c r="F23" s="18"/>
      <c r="G23" s="19">
        <f t="shared" si="1"/>
        <v>0</v>
      </c>
    </row>
    <row r="24" spans="1:7" ht="45" customHeight="1">
      <c r="A24" s="13">
        <v>15</v>
      </c>
      <c r="B24" s="14" t="s">
        <v>93</v>
      </c>
      <c r="C24" s="15" t="s">
        <v>201</v>
      </c>
      <c r="D24" s="16" t="s">
        <v>37</v>
      </c>
      <c r="E24" s="17">
        <f>E27</f>
        <v>30.560000000000002</v>
      </c>
      <c r="F24" s="18"/>
      <c r="G24" s="19">
        <f>ROUND(E24*F24,1)</f>
        <v>0</v>
      </c>
    </row>
    <row r="25" spans="1:7" ht="56.25" customHeight="1">
      <c r="A25" s="13">
        <v>16</v>
      </c>
      <c r="B25" s="14" t="s">
        <v>170</v>
      </c>
      <c r="C25" s="15" t="s">
        <v>171</v>
      </c>
      <c r="D25" s="16" t="s">
        <v>37</v>
      </c>
      <c r="E25" s="17">
        <f>1.6*2*8.3+10.6*0.8*4</f>
        <v>60.480000000000004</v>
      </c>
      <c r="F25" s="18"/>
      <c r="G25" s="19">
        <f t="shared" si="1"/>
        <v>0</v>
      </c>
    </row>
    <row r="26" spans="1:7" ht="45" customHeight="1">
      <c r="A26" s="13">
        <v>17</v>
      </c>
      <c r="B26" s="14" t="s">
        <v>48</v>
      </c>
      <c r="C26" s="15" t="s">
        <v>207</v>
      </c>
      <c r="D26" s="16" t="s">
        <v>37</v>
      </c>
      <c r="E26" s="17">
        <f>E22+E25+(E25-E27)</f>
        <v>98.2</v>
      </c>
      <c r="F26" s="18"/>
      <c r="G26" s="19">
        <f t="shared" si="1"/>
        <v>0</v>
      </c>
    </row>
    <row r="27" spans="1:7" ht="60" customHeight="1">
      <c r="A27" s="13">
        <v>18</v>
      </c>
      <c r="B27" s="14" t="s">
        <v>174</v>
      </c>
      <c r="C27" s="15" t="s">
        <v>175</v>
      </c>
      <c r="D27" s="16" t="s">
        <v>37</v>
      </c>
      <c r="E27" s="17">
        <f>10.6*0.5*4+4*1.8*1.3</f>
        <v>30.560000000000002</v>
      </c>
      <c r="F27" s="18"/>
      <c r="G27" s="19">
        <f t="shared" si="1"/>
        <v>0</v>
      </c>
    </row>
    <row r="28" spans="1:7" ht="45" customHeight="1">
      <c r="A28" s="13">
        <v>19</v>
      </c>
      <c r="B28" s="14" t="s">
        <v>49</v>
      </c>
      <c r="C28" s="15" t="s">
        <v>176</v>
      </c>
      <c r="D28" s="16" t="s">
        <v>50</v>
      </c>
      <c r="E28" s="17">
        <f>29.55+28.4</f>
        <v>57.95</v>
      </c>
      <c r="F28" s="18"/>
      <c r="G28" s="19">
        <f t="shared" si="1"/>
        <v>0</v>
      </c>
    </row>
    <row r="29" spans="1:7" ht="45" customHeight="1">
      <c r="A29" s="13">
        <v>20</v>
      </c>
      <c r="B29" s="14" t="s">
        <v>177</v>
      </c>
      <c r="C29" s="15" t="s">
        <v>178</v>
      </c>
      <c r="D29" s="16" t="s">
        <v>37</v>
      </c>
      <c r="E29" s="17">
        <f>5*3*1.3*4*0.1</f>
        <v>7.800000000000001</v>
      </c>
      <c r="F29" s="18"/>
      <c r="G29" s="19">
        <f t="shared" si="1"/>
        <v>0</v>
      </c>
    </row>
    <row r="30" spans="1:7" ht="45" customHeight="1">
      <c r="A30" s="13">
        <v>21</v>
      </c>
      <c r="B30" s="14" t="s">
        <v>51</v>
      </c>
      <c r="C30" s="15" t="s">
        <v>179</v>
      </c>
      <c r="D30" s="16" t="s">
        <v>50</v>
      </c>
      <c r="E30" s="17">
        <v>78</v>
      </c>
      <c r="F30" s="18"/>
      <c r="G30" s="19">
        <f t="shared" si="1"/>
        <v>0</v>
      </c>
    </row>
    <row r="31" spans="1:7" ht="27.75" customHeight="1">
      <c r="A31" s="20"/>
      <c r="B31" s="21"/>
      <c r="C31" s="22" t="s">
        <v>52</v>
      </c>
      <c r="D31" s="20"/>
      <c r="E31" s="23"/>
      <c r="F31" s="24"/>
      <c r="G31" s="24">
        <f>SUM(G17:G30)</f>
        <v>0</v>
      </c>
    </row>
    <row r="32" spans="1:7" ht="33.75" customHeight="1">
      <c r="A32" s="8"/>
      <c r="B32" s="9" t="s">
        <v>53</v>
      </c>
      <c r="C32" s="10" t="s">
        <v>54</v>
      </c>
      <c r="D32" s="8"/>
      <c r="E32" s="25"/>
      <c r="F32" s="12"/>
      <c r="G32" s="12"/>
    </row>
    <row r="33" spans="1:7" ht="45" customHeight="1">
      <c r="A33" s="13">
        <v>22</v>
      </c>
      <c r="B33" s="14" t="s">
        <v>169</v>
      </c>
      <c r="C33" s="15" t="s">
        <v>209</v>
      </c>
      <c r="D33" s="26" t="s">
        <v>37</v>
      </c>
      <c r="E33" s="17">
        <f>9.4*2</f>
        <v>18.8</v>
      </c>
      <c r="F33" s="18"/>
      <c r="G33" s="19">
        <f aca="true" t="shared" si="2" ref="G33:G41">ROUND(E33*F33,1)</f>
        <v>0</v>
      </c>
    </row>
    <row r="34" spans="1:7" ht="45" customHeight="1">
      <c r="A34" s="13">
        <v>23</v>
      </c>
      <c r="B34" s="14" t="s">
        <v>6</v>
      </c>
      <c r="C34" s="15" t="s">
        <v>7</v>
      </c>
      <c r="D34" s="26" t="s">
        <v>37</v>
      </c>
      <c r="E34" s="17">
        <f>1.7*8.5</f>
        <v>14.45</v>
      </c>
      <c r="F34" s="18"/>
      <c r="G34" s="19">
        <f t="shared" si="2"/>
        <v>0</v>
      </c>
    </row>
    <row r="35" spans="1:10" s="27" customFormat="1" ht="45" customHeight="1">
      <c r="A35" s="13">
        <v>24</v>
      </c>
      <c r="B35" s="14" t="s">
        <v>108</v>
      </c>
      <c r="C35" s="15" t="s">
        <v>8</v>
      </c>
      <c r="D35" s="26" t="s">
        <v>37</v>
      </c>
      <c r="E35" s="17">
        <f>0.15*2*0.05*58.8</f>
        <v>0.8819999999999999</v>
      </c>
      <c r="F35" s="18"/>
      <c r="G35" s="19">
        <f t="shared" si="2"/>
        <v>0</v>
      </c>
      <c r="I35" s="1"/>
      <c r="J35" s="2"/>
    </row>
    <row r="36" spans="1:10" s="27" customFormat="1" ht="45" customHeight="1">
      <c r="A36" s="13">
        <v>25</v>
      </c>
      <c r="B36" s="14" t="s">
        <v>199</v>
      </c>
      <c r="C36" s="15" t="s">
        <v>210</v>
      </c>
      <c r="D36" s="26" t="s">
        <v>55</v>
      </c>
      <c r="E36" s="17">
        <f>22*4*0.3+(2912+1656)*0.15</f>
        <v>711.5999999999999</v>
      </c>
      <c r="F36" s="18"/>
      <c r="G36" s="19">
        <f t="shared" si="2"/>
        <v>0</v>
      </c>
      <c r="I36" s="1"/>
      <c r="J36" s="2"/>
    </row>
    <row r="37" spans="1:10" s="27" customFormat="1" ht="72" customHeight="1">
      <c r="A37" s="13">
        <v>26</v>
      </c>
      <c r="B37" s="14" t="s">
        <v>116</v>
      </c>
      <c r="C37" s="15" t="s">
        <v>211</v>
      </c>
      <c r="D37" s="26" t="s">
        <v>55</v>
      </c>
      <c r="E37" s="17">
        <f>0.15*3*9*2*3+67*2*0.2+49*2*2*0.5+27*4*0.5</f>
        <v>203.1</v>
      </c>
      <c r="F37" s="18"/>
      <c r="G37" s="19">
        <f t="shared" si="2"/>
        <v>0</v>
      </c>
      <c r="I37" s="1"/>
      <c r="J37" s="2"/>
    </row>
    <row r="38" spans="1:10" s="27" customFormat="1" ht="45" customHeight="1">
      <c r="A38" s="13">
        <v>27</v>
      </c>
      <c r="B38" s="14" t="s">
        <v>124</v>
      </c>
      <c r="C38" s="15" t="s">
        <v>212</v>
      </c>
      <c r="D38" s="26" t="s">
        <v>55</v>
      </c>
      <c r="E38" s="17">
        <f>0.8*18</f>
        <v>14.4</v>
      </c>
      <c r="F38" s="18"/>
      <c r="G38" s="19">
        <f t="shared" si="2"/>
        <v>0</v>
      </c>
      <c r="I38" s="1"/>
      <c r="J38" s="2"/>
    </row>
    <row r="39" spans="1:10" s="27" customFormat="1" ht="45" customHeight="1">
      <c r="A39" s="13">
        <v>28</v>
      </c>
      <c r="B39" s="14" t="s">
        <v>125</v>
      </c>
      <c r="C39" s="15" t="s">
        <v>126</v>
      </c>
      <c r="D39" s="26" t="s">
        <v>55</v>
      </c>
      <c r="E39" s="17">
        <f>0.8*8</f>
        <v>6.4</v>
      </c>
      <c r="F39" s="18"/>
      <c r="G39" s="19">
        <f t="shared" si="2"/>
        <v>0</v>
      </c>
      <c r="I39" s="1"/>
      <c r="J39" s="2"/>
    </row>
    <row r="40" spans="1:10" s="27" customFormat="1" ht="45" customHeight="1">
      <c r="A40" s="13">
        <v>29</v>
      </c>
      <c r="B40" s="14" t="s">
        <v>167</v>
      </c>
      <c r="C40" s="15" t="s">
        <v>168</v>
      </c>
      <c r="D40" s="26" t="s">
        <v>55</v>
      </c>
      <c r="E40" s="17">
        <f>0.9*2</f>
        <v>1.8</v>
      </c>
      <c r="F40" s="18"/>
      <c r="G40" s="19">
        <f t="shared" si="2"/>
        <v>0</v>
      </c>
      <c r="I40" s="1"/>
      <c r="J40" s="2"/>
    </row>
    <row r="41" spans="1:10" s="27" customFormat="1" ht="45" customHeight="1">
      <c r="A41" s="13">
        <v>30</v>
      </c>
      <c r="B41" s="14" t="s">
        <v>187</v>
      </c>
      <c r="C41" s="15" t="s">
        <v>213</v>
      </c>
      <c r="D41" s="26" t="s">
        <v>50</v>
      </c>
      <c r="E41" s="17">
        <f>1*2*8.3</f>
        <v>16.6</v>
      </c>
      <c r="F41" s="18"/>
      <c r="G41" s="19">
        <f t="shared" si="2"/>
        <v>0</v>
      </c>
      <c r="I41" s="1"/>
      <c r="J41" s="2"/>
    </row>
    <row r="42" spans="1:7" ht="27.75" customHeight="1">
      <c r="A42" s="20"/>
      <c r="B42" s="28"/>
      <c r="C42" s="22" t="s">
        <v>56</v>
      </c>
      <c r="D42" s="20"/>
      <c r="E42" s="29"/>
      <c r="F42" s="30"/>
      <c r="G42" s="24">
        <f>SUM(G33:G41)</f>
        <v>0</v>
      </c>
    </row>
    <row r="43" spans="1:7" ht="33.75" customHeight="1">
      <c r="A43" s="8"/>
      <c r="B43" s="9" t="s">
        <v>57</v>
      </c>
      <c r="C43" s="10" t="s">
        <v>58</v>
      </c>
      <c r="D43" s="8"/>
      <c r="E43" s="25"/>
      <c r="F43" s="12"/>
      <c r="G43" s="12"/>
    </row>
    <row r="44" spans="1:10" s="27" customFormat="1" ht="45" customHeight="1">
      <c r="A44" s="13">
        <v>31</v>
      </c>
      <c r="B44" s="14" t="s">
        <v>59</v>
      </c>
      <c r="C44" s="15" t="s">
        <v>214</v>
      </c>
      <c r="D44" s="26" t="s">
        <v>37</v>
      </c>
      <c r="E44" s="17">
        <f>0.55*2*66.6</f>
        <v>73.26</v>
      </c>
      <c r="F44" s="18"/>
      <c r="G44" s="19">
        <f aca="true" t="shared" si="3" ref="G44:G49">ROUND(E44*F44,1)</f>
        <v>0</v>
      </c>
      <c r="I44" s="1"/>
      <c r="J44" s="2"/>
    </row>
    <row r="45" spans="1:10" s="27" customFormat="1" ht="45" customHeight="1">
      <c r="A45" s="13">
        <v>32</v>
      </c>
      <c r="B45" s="14" t="s">
        <v>60</v>
      </c>
      <c r="C45" s="15" t="s">
        <v>184</v>
      </c>
      <c r="D45" s="26" t="s">
        <v>39</v>
      </c>
      <c r="E45" s="17">
        <f>73.26/100*3*7850/1000</f>
        <v>17.25273</v>
      </c>
      <c r="F45" s="18"/>
      <c r="G45" s="19">
        <f t="shared" si="3"/>
        <v>0</v>
      </c>
      <c r="I45" s="1"/>
      <c r="J45" s="2"/>
    </row>
    <row r="46" spans="1:10" s="27" customFormat="1" ht="45" customHeight="1">
      <c r="A46" s="13">
        <v>33</v>
      </c>
      <c r="B46" s="14" t="s">
        <v>104</v>
      </c>
      <c r="C46" s="15" t="s">
        <v>215</v>
      </c>
      <c r="D46" s="26" t="s">
        <v>37</v>
      </c>
      <c r="E46" s="17">
        <f>8.3*2*0.7+3.05*4*0.7*1</f>
        <v>20.16</v>
      </c>
      <c r="F46" s="18"/>
      <c r="G46" s="19">
        <f t="shared" si="3"/>
        <v>0</v>
      </c>
      <c r="I46" s="1"/>
      <c r="J46" s="2"/>
    </row>
    <row r="47" spans="1:10" s="27" customFormat="1" ht="45" customHeight="1">
      <c r="A47" s="13">
        <v>34</v>
      </c>
      <c r="B47" s="14" t="s">
        <v>105</v>
      </c>
      <c r="C47" s="15" t="s">
        <v>216</v>
      </c>
      <c r="D47" s="26" t="s">
        <v>39</v>
      </c>
      <c r="E47" s="17">
        <f>0.03*11.62*7.85+0.02*8.54*7.85</f>
        <v>4.07729</v>
      </c>
      <c r="F47" s="18"/>
      <c r="G47" s="19">
        <f t="shared" si="3"/>
        <v>0</v>
      </c>
      <c r="I47" s="1"/>
      <c r="J47" s="2"/>
    </row>
    <row r="48" spans="1:10" s="27" customFormat="1" ht="45" customHeight="1">
      <c r="A48" s="13">
        <v>35</v>
      </c>
      <c r="B48" s="14" t="s">
        <v>196</v>
      </c>
      <c r="C48" s="15" t="s">
        <v>217</v>
      </c>
      <c r="D48" s="26" t="s">
        <v>37</v>
      </c>
      <c r="E48" s="17">
        <f>4.3*0.12*4</f>
        <v>2.064</v>
      </c>
      <c r="F48" s="18"/>
      <c r="G48" s="19">
        <f t="shared" si="3"/>
        <v>0</v>
      </c>
      <c r="I48" s="1"/>
      <c r="J48" s="2"/>
    </row>
    <row r="49" spans="1:10" s="27" customFormat="1" ht="45" customHeight="1">
      <c r="A49" s="13">
        <v>36</v>
      </c>
      <c r="B49" s="14" t="s">
        <v>197</v>
      </c>
      <c r="C49" s="15" t="s">
        <v>198</v>
      </c>
      <c r="D49" s="26" t="s">
        <v>37</v>
      </c>
      <c r="E49" s="17">
        <f>4.3*7.9*4</f>
        <v>135.88</v>
      </c>
      <c r="F49" s="18"/>
      <c r="G49" s="19">
        <f t="shared" si="3"/>
        <v>0</v>
      </c>
      <c r="I49" s="1"/>
      <c r="J49" s="2"/>
    </row>
    <row r="50" spans="1:7" ht="27.75" customHeight="1">
      <c r="A50" s="20"/>
      <c r="B50" s="28"/>
      <c r="C50" s="22" t="s">
        <v>61</v>
      </c>
      <c r="D50" s="20"/>
      <c r="E50" s="29"/>
      <c r="F50" s="30"/>
      <c r="G50" s="24">
        <f>SUM(G44:G49)</f>
        <v>0</v>
      </c>
    </row>
    <row r="51" spans="1:7" ht="33.75" customHeight="1">
      <c r="A51" s="8"/>
      <c r="B51" s="9" t="s">
        <v>62</v>
      </c>
      <c r="C51" s="10" t="s">
        <v>63</v>
      </c>
      <c r="D51" s="8"/>
      <c r="E51" s="25"/>
      <c r="F51" s="12"/>
      <c r="G51" s="12"/>
    </row>
    <row r="52" spans="1:7" ht="45" customHeight="1">
      <c r="A52" s="52">
        <v>37</v>
      </c>
      <c r="B52" s="14" t="s">
        <v>64</v>
      </c>
      <c r="C52" s="15" t="s">
        <v>9</v>
      </c>
      <c r="D52" s="16" t="s">
        <v>37</v>
      </c>
      <c r="E52" s="17">
        <f>8.3*2*0.15+1.2*1*4*0.5</f>
        <v>4.890000000000001</v>
      </c>
      <c r="F52" s="18"/>
      <c r="G52" s="19">
        <f aca="true" t="shared" si="4" ref="G52:G57">ROUND(E52*F52,1)</f>
        <v>0</v>
      </c>
    </row>
    <row r="53" spans="1:7" ht="45" customHeight="1">
      <c r="A53" s="52">
        <v>38</v>
      </c>
      <c r="B53" s="14" t="s">
        <v>65</v>
      </c>
      <c r="C53" s="15" t="s">
        <v>161</v>
      </c>
      <c r="D53" s="16" t="s">
        <v>37</v>
      </c>
      <c r="E53" s="17">
        <f>2.5*4*0.15+5*0.5*4*1.3*0.15</f>
        <v>3.45</v>
      </c>
      <c r="F53" s="18"/>
      <c r="G53" s="19">
        <f t="shared" si="4"/>
        <v>0</v>
      </c>
    </row>
    <row r="54" spans="1:7" ht="50.25" customHeight="1">
      <c r="A54" s="52">
        <v>39</v>
      </c>
      <c r="B54" s="14" t="s">
        <v>127</v>
      </c>
      <c r="C54" s="15" t="s">
        <v>220</v>
      </c>
      <c r="D54" s="16" t="s">
        <v>37</v>
      </c>
      <c r="E54" s="17">
        <f>2.9*58.8</f>
        <v>170.51999999999998</v>
      </c>
      <c r="F54" s="18"/>
      <c r="G54" s="19">
        <f t="shared" si="4"/>
        <v>0</v>
      </c>
    </row>
    <row r="55" spans="1:7" ht="50.25" customHeight="1">
      <c r="A55" s="52">
        <v>40</v>
      </c>
      <c r="B55" s="14" t="s">
        <v>128</v>
      </c>
      <c r="C55" s="15" t="s">
        <v>193</v>
      </c>
      <c r="D55" s="16" t="s">
        <v>39</v>
      </c>
      <c r="E55" s="17">
        <f>0.02*170.52*7.85</f>
        <v>26.771639999999998</v>
      </c>
      <c r="F55" s="18"/>
      <c r="G55" s="19">
        <f t="shared" si="4"/>
        <v>0</v>
      </c>
    </row>
    <row r="56" spans="1:7" ht="50.25" customHeight="1">
      <c r="A56" s="52">
        <v>41</v>
      </c>
      <c r="B56" s="14" t="s">
        <v>129</v>
      </c>
      <c r="C56" s="15" t="s">
        <v>0</v>
      </c>
      <c r="D56" s="16" t="s">
        <v>39</v>
      </c>
      <c r="E56" s="17">
        <f>0.015*147*7.85</f>
        <v>17.30925</v>
      </c>
      <c r="F56" s="18"/>
      <c r="G56" s="19">
        <f t="shared" si="4"/>
        <v>0</v>
      </c>
    </row>
    <row r="57" spans="1:7" ht="45" customHeight="1">
      <c r="A57" s="52">
        <v>42</v>
      </c>
      <c r="B57" s="14" t="s">
        <v>66</v>
      </c>
      <c r="C57" s="15" t="s">
        <v>160</v>
      </c>
      <c r="D57" s="16" t="s">
        <v>37</v>
      </c>
      <c r="E57" s="17">
        <f>2.5*4*0.25+5*0.5*4*1.3*0.25</f>
        <v>5.75</v>
      </c>
      <c r="F57" s="18"/>
      <c r="G57" s="19">
        <f t="shared" si="4"/>
        <v>0</v>
      </c>
    </row>
    <row r="58" spans="1:7" ht="27.75" customHeight="1">
      <c r="A58" s="20"/>
      <c r="B58" s="21"/>
      <c r="C58" s="22" t="s">
        <v>67</v>
      </c>
      <c r="D58" s="20"/>
      <c r="E58" s="23"/>
      <c r="F58" s="24"/>
      <c r="G58" s="24">
        <f>SUM(G52:G57)</f>
        <v>0</v>
      </c>
    </row>
    <row r="59" spans="1:7" ht="33.75" customHeight="1">
      <c r="A59" s="8"/>
      <c r="B59" s="9" t="s">
        <v>68</v>
      </c>
      <c r="C59" s="10" t="s">
        <v>69</v>
      </c>
      <c r="D59" s="8"/>
      <c r="E59" s="25"/>
      <c r="F59" s="12"/>
      <c r="G59" s="12"/>
    </row>
    <row r="60" spans="1:7" ht="45" customHeight="1">
      <c r="A60" s="13">
        <v>43</v>
      </c>
      <c r="B60" s="14" t="s">
        <v>102</v>
      </c>
      <c r="C60" s="15" t="s">
        <v>5</v>
      </c>
      <c r="D60" s="16" t="s">
        <v>50</v>
      </c>
      <c r="E60" s="17">
        <f>29.55+28.4</f>
        <v>57.95</v>
      </c>
      <c r="F60" s="18"/>
      <c r="G60" s="19">
        <f aca="true" t="shared" si="5" ref="G60:G67">ROUND(E60*F60,1)</f>
        <v>0</v>
      </c>
    </row>
    <row r="61" spans="1:7" ht="45" customHeight="1">
      <c r="A61" s="13">
        <v>44</v>
      </c>
      <c r="B61" s="14" t="s">
        <v>101</v>
      </c>
      <c r="C61" s="15" t="s">
        <v>218</v>
      </c>
      <c r="D61" s="16" t="s">
        <v>50</v>
      </c>
      <c r="E61" s="17">
        <f>29.55+28.4</f>
        <v>57.95</v>
      </c>
      <c r="F61" s="18"/>
      <c r="G61" s="19">
        <f>ROUND(E61*F61,1)</f>
        <v>0</v>
      </c>
    </row>
    <row r="62" spans="1:7" ht="45" customHeight="1">
      <c r="A62" s="13">
        <v>45</v>
      </c>
      <c r="B62" s="14" t="s">
        <v>12</v>
      </c>
      <c r="C62" s="15" t="s">
        <v>221</v>
      </c>
      <c r="D62" s="16" t="s">
        <v>50</v>
      </c>
      <c r="E62" s="17">
        <f>4.5*4</f>
        <v>18</v>
      </c>
      <c r="F62" s="18"/>
      <c r="G62" s="19">
        <f>ROUND(E62*F62,1)</f>
        <v>0</v>
      </c>
    </row>
    <row r="63" spans="1:7" ht="45" customHeight="1">
      <c r="A63" s="13">
        <v>46</v>
      </c>
      <c r="B63" s="14" t="s">
        <v>90</v>
      </c>
      <c r="C63" s="15" t="s">
        <v>219</v>
      </c>
      <c r="D63" s="16" t="s">
        <v>50</v>
      </c>
      <c r="E63" s="17">
        <f>105+103</f>
        <v>208</v>
      </c>
      <c r="F63" s="18"/>
      <c r="G63" s="19">
        <f t="shared" si="5"/>
        <v>0</v>
      </c>
    </row>
    <row r="64" spans="1:7" ht="45" customHeight="1">
      <c r="A64" s="13">
        <v>47</v>
      </c>
      <c r="B64" s="14" t="s">
        <v>70</v>
      </c>
      <c r="C64" s="15" t="s">
        <v>3</v>
      </c>
      <c r="D64" s="16" t="s">
        <v>50</v>
      </c>
      <c r="E64" s="17">
        <f>105+103+448</f>
        <v>656</v>
      </c>
      <c r="F64" s="18"/>
      <c r="G64" s="19">
        <f t="shared" si="5"/>
        <v>0</v>
      </c>
    </row>
    <row r="65" spans="1:7" ht="45" customHeight="1">
      <c r="A65" s="13">
        <v>48</v>
      </c>
      <c r="B65" s="14" t="s">
        <v>100</v>
      </c>
      <c r="C65" s="15" t="s">
        <v>222</v>
      </c>
      <c r="D65" s="16" t="s">
        <v>50</v>
      </c>
      <c r="E65" s="17">
        <f>448</f>
        <v>448</v>
      </c>
      <c r="F65" s="18"/>
      <c r="G65" s="19">
        <f t="shared" si="5"/>
        <v>0</v>
      </c>
    </row>
    <row r="66" spans="1:7" ht="45" customHeight="1">
      <c r="A66" s="13">
        <v>49</v>
      </c>
      <c r="B66" s="14" t="s">
        <v>2</v>
      </c>
      <c r="C66" s="15" t="s">
        <v>223</v>
      </c>
      <c r="D66" s="16" t="s">
        <v>50</v>
      </c>
      <c r="E66" s="17">
        <f>105+103+448</f>
        <v>656</v>
      </c>
      <c r="F66" s="18"/>
      <c r="G66" s="19">
        <f>ROUND(E66*F66,1)</f>
        <v>0</v>
      </c>
    </row>
    <row r="67" spans="1:10" ht="45" customHeight="1">
      <c r="A67" s="13">
        <v>50</v>
      </c>
      <c r="B67" s="14" t="s">
        <v>71</v>
      </c>
      <c r="C67" s="15" t="s">
        <v>4</v>
      </c>
      <c r="D67" s="16" t="s">
        <v>50</v>
      </c>
      <c r="E67" s="17">
        <f>105+103</f>
        <v>208</v>
      </c>
      <c r="F67" s="18"/>
      <c r="G67" s="19">
        <f t="shared" si="5"/>
        <v>0</v>
      </c>
      <c r="J67" s="1"/>
    </row>
    <row r="68" spans="1:10" ht="27.75" customHeight="1">
      <c r="A68" s="20"/>
      <c r="B68" s="21"/>
      <c r="C68" s="22" t="s">
        <v>72</v>
      </c>
      <c r="D68" s="20"/>
      <c r="E68" s="23"/>
      <c r="F68" s="24"/>
      <c r="G68" s="24">
        <f>SUM(G60:G67)</f>
        <v>0</v>
      </c>
      <c r="J68" s="1"/>
    </row>
    <row r="69" spans="1:10" ht="33.75" customHeight="1">
      <c r="A69" s="8"/>
      <c r="B69" s="9" t="s">
        <v>149</v>
      </c>
      <c r="C69" s="10" t="s">
        <v>150</v>
      </c>
      <c r="D69" s="8"/>
      <c r="E69" s="25"/>
      <c r="F69" s="12"/>
      <c r="G69" s="12"/>
      <c r="J69" s="1"/>
    </row>
    <row r="70" spans="1:10" ht="45" customHeight="1">
      <c r="A70" s="13">
        <v>51</v>
      </c>
      <c r="B70" s="14" t="s">
        <v>151</v>
      </c>
      <c r="C70" s="15" t="s">
        <v>153</v>
      </c>
      <c r="D70" s="16" t="s">
        <v>50</v>
      </c>
      <c r="E70" s="17">
        <f>(1.55*10.15*2+5.2*4+58.8*10.15+8.2*2+46*2+(2.9*11.55+0.6*2)*2+12.6*4*2)/100*30</f>
        <v>278.30249999999995</v>
      </c>
      <c r="F70" s="18"/>
      <c r="G70" s="19">
        <f aca="true" t="shared" si="6" ref="G70:G76">ROUND(E70*F70,1)</f>
        <v>0</v>
      </c>
      <c r="J70" s="1"/>
    </row>
    <row r="71" spans="1:10" ht="45" customHeight="1">
      <c r="A71" s="13">
        <v>52</v>
      </c>
      <c r="B71" s="14" t="s">
        <v>154</v>
      </c>
      <c r="C71" s="15" t="s">
        <v>155</v>
      </c>
      <c r="D71" s="16" t="s">
        <v>50</v>
      </c>
      <c r="E71" s="17">
        <f>(1.55*10.15*2+5.2*4+58.8*10.15+8.2*2+46*2+(2.9*11.55+0.6*2)*2+12.6*4*2)/100*20</f>
        <v>185.53499999999997</v>
      </c>
      <c r="F71" s="18"/>
      <c r="G71" s="19">
        <f t="shared" si="6"/>
        <v>0</v>
      </c>
      <c r="J71" s="1"/>
    </row>
    <row r="72" spans="1:10" ht="94.5" customHeight="1">
      <c r="A72" s="13">
        <v>53</v>
      </c>
      <c r="B72" s="14" t="s">
        <v>152</v>
      </c>
      <c r="C72" s="15" t="s">
        <v>226</v>
      </c>
      <c r="D72" s="16" t="s">
        <v>50</v>
      </c>
      <c r="E72" s="17">
        <f>1.55*10.15*2+5.2*4+58.8*10.15+8.2*2+46*2+(2.9*11.55+0.6*2)*2+12.6*4*2</f>
        <v>927.6749999999998</v>
      </c>
      <c r="F72" s="18"/>
      <c r="G72" s="19">
        <f t="shared" si="6"/>
        <v>0</v>
      </c>
      <c r="J72" s="1"/>
    </row>
    <row r="73" spans="1:10" ht="60" customHeight="1">
      <c r="A73" s="13">
        <v>54</v>
      </c>
      <c r="B73" s="14" t="s">
        <v>159</v>
      </c>
      <c r="C73" s="15" t="s">
        <v>224</v>
      </c>
      <c r="D73" s="16" t="s">
        <v>55</v>
      </c>
      <c r="E73" s="17">
        <f>80*2+11*3*3+22.5*2</f>
        <v>304</v>
      </c>
      <c r="F73" s="18"/>
      <c r="G73" s="19">
        <f t="shared" si="6"/>
        <v>0</v>
      </c>
      <c r="J73" s="1"/>
    </row>
    <row r="74" spans="1:10" ht="45" customHeight="1">
      <c r="A74" s="13">
        <v>55</v>
      </c>
      <c r="B74" s="14" t="s">
        <v>156</v>
      </c>
      <c r="C74" s="15" t="s">
        <v>165</v>
      </c>
      <c r="D74" s="16" t="s">
        <v>55</v>
      </c>
      <c r="E74" s="17">
        <f>10*9*4</f>
        <v>360</v>
      </c>
      <c r="F74" s="18"/>
      <c r="G74" s="19">
        <f t="shared" si="6"/>
        <v>0</v>
      </c>
      <c r="J74" s="1"/>
    </row>
    <row r="75" spans="1:10" ht="45" customHeight="1">
      <c r="A75" s="13">
        <v>56</v>
      </c>
      <c r="B75" s="14" t="s">
        <v>157</v>
      </c>
      <c r="C75" s="15" t="s">
        <v>158</v>
      </c>
      <c r="D75" s="16" t="s">
        <v>50</v>
      </c>
      <c r="E75" s="17">
        <f>1.55*10.15*2+5.2*4+58.8*10.15+8.2*2+46*2+(2.9*11.55+0.6*2)*2+12.6*4*2</f>
        <v>927.6749999999998</v>
      </c>
      <c r="F75" s="18"/>
      <c r="G75" s="19">
        <f t="shared" si="6"/>
        <v>0</v>
      </c>
      <c r="J75" s="1"/>
    </row>
    <row r="76" spans="1:10" ht="45" customHeight="1">
      <c r="A76" s="13">
        <v>57</v>
      </c>
      <c r="B76" s="14" t="s">
        <v>164</v>
      </c>
      <c r="C76" s="15" t="s">
        <v>225</v>
      </c>
      <c r="D76" s="16" t="s">
        <v>50</v>
      </c>
      <c r="E76" s="17">
        <f>4.5*10.5*2</f>
        <v>94.5</v>
      </c>
      <c r="F76" s="18"/>
      <c r="G76" s="19">
        <f t="shared" si="6"/>
        <v>0</v>
      </c>
      <c r="J76" s="1"/>
    </row>
    <row r="77" spans="1:10" ht="27.75" customHeight="1">
      <c r="A77" s="20"/>
      <c r="B77" s="21"/>
      <c r="C77" s="22" t="s">
        <v>150</v>
      </c>
      <c r="D77" s="20"/>
      <c r="E77" s="23"/>
      <c r="F77" s="24"/>
      <c r="G77" s="24">
        <f>SUM(G70:G76)</f>
        <v>0</v>
      </c>
      <c r="J77" s="1"/>
    </row>
    <row r="78" spans="1:10" ht="33.75" customHeight="1">
      <c r="A78" s="8"/>
      <c r="B78" s="9" t="s">
        <v>73</v>
      </c>
      <c r="C78" s="10" t="s">
        <v>74</v>
      </c>
      <c r="D78" s="8"/>
      <c r="E78" s="25"/>
      <c r="F78" s="12"/>
      <c r="G78" s="12"/>
      <c r="J78" s="1"/>
    </row>
    <row r="79" spans="1:10" ht="69.75" customHeight="1">
      <c r="A79" s="13">
        <v>58</v>
      </c>
      <c r="B79" s="14" t="s">
        <v>1</v>
      </c>
      <c r="C79" s="15" t="s">
        <v>227</v>
      </c>
      <c r="D79" s="16" t="s">
        <v>50</v>
      </c>
      <c r="E79" s="17">
        <f>10.15*62.8+2*1.5*10.15+2*1.5*10.15</f>
        <v>698.32</v>
      </c>
      <c r="F79" s="18"/>
      <c r="G79" s="19">
        <f>ROUND(E79*F79,1)</f>
        <v>0</v>
      </c>
      <c r="J79" s="1"/>
    </row>
    <row r="80" spans="1:10" ht="45" customHeight="1">
      <c r="A80" s="13">
        <v>59</v>
      </c>
      <c r="B80" s="14" t="s">
        <v>98</v>
      </c>
      <c r="C80" s="15" t="s">
        <v>228</v>
      </c>
      <c r="D80" s="16" t="s">
        <v>50</v>
      </c>
      <c r="E80" s="17">
        <f>1.4*2*58.5</f>
        <v>163.79999999999998</v>
      </c>
      <c r="F80" s="18"/>
      <c r="G80" s="19">
        <f>ROUND(E80*F80,1)</f>
        <v>0</v>
      </c>
      <c r="J80" s="1"/>
    </row>
    <row r="81" spans="1:10" ht="45" customHeight="1">
      <c r="A81" s="13">
        <v>60</v>
      </c>
      <c r="B81" s="14" t="s">
        <v>96</v>
      </c>
      <c r="C81" s="15" t="s">
        <v>166</v>
      </c>
      <c r="D81" s="16" t="s">
        <v>50</v>
      </c>
      <c r="E81" s="17">
        <f>1.6*8.3*2+2.55*4*1.2</f>
        <v>38.8</v>
      </c>
      <c r="F81" s="18"/>
      <c r="G81" s="19">
        <f>ROUND(E81*F81,1)</f>
        <v>0</v>
      </c>
      <c r="J81" s="1"/>
    </row>
    <row r="82" spans="1:10" ht="45" customHeight="1">
      <c r="A82" s="13">
        <v>61</v>
      </c>
      <c r="B82" s="14" t="s">
        <v>91</v>
      </c>
      <c r="C82" s="15" t="s">
        <v>229</v>
      </c>
      <c r="D82" s="16" t="s">
        <v>50</v>
      </c>
      <c r="E82" s="17">
        <f>2.8*2*66.6</f>
        <v>372.9599999999999</v>
      </c>
      <c r="F82" s="18"/>
      <c r="G82" s="19">
        <f>ROUND(E82*F82,1)</f>
        <v>0</v>
      </c>
      <c r="J82" s="1"/>
    </row>
    <row r="83" spans="1:10" ht="45" customHeight="1">
      <c r="A83" s="13">
        <v>62</v>
      </c>
      <c r="B83" s="14" t="s">
        <v>75</v>
      </c>
      <c r="C83" s="15" t="s">
        <v>230</v>
      </c>
      <c r="D83" s="16" t="s">
        <v>50</v>
      </c>
      <c r="E83" s="17">
        <f>0.35*2*66.6+927.675</f>
        <v>974.295</v>
      </c>
      <c r="F83" s="18"/>
      <c r="G83" s="19">
        <f>ROUND(E83*F83,1)</f>
        <v>0</v>
      </c>
      <c r="J83" s="1"/>
    </row>
    <row r="84" spans="1:10" ht="27.75" customHeight="1">
      <c r="A84" s="20"/>
      <c r="B84" s="21"/>
      <c r="C84" s="22" t="s">
        <v>76</v>
      </c>
      <c r="D84" s="20"/>
      <c r="E84" s="23"/>
      <c r="F84" s="24"/>
      <c r="G84" s="24">
        <f>SUM(G79:G83)</f>
        <v>0</v>
      </c>
      <c r="J84" s="1"/>
    </row>
    <row r="85" spans="1:10" ht="33.75" customHeight="1">
      <c r="A85" s="8"/>
      <c r="B85" s="9" t="s">
        <v>77</v>
      </c>
      <c r="C85" s="10" t="s">
        <v>78</v>
      </c>
      <c r="D85" s="8"/>
      <c r="E85" s="25"/>
      <c r="F85" s="12"/>
      <c r="G85" s="12"/>
      <c r="J85" s="1"/>
    </row>
    <row r="86" spans="1:10" ht="45" customHeight="1">
      <c r="A86" s="13">
        <v>63</v>
      </c>
      <c r="B86" s="14" t="s">
        <v>95</v>
      </c>
      <c r="C86" s="15" t="s">
        <v>231</v>
      </c>
      <c r="D86" s="16" t="s">
        <v>55</v>
      </c>
      <c r="E86" s="17">
        <f>1.05*2</f>
        <v>2.1</v>
      </c>
      <c r="F86" s="18"/>
      <c r="G86" s="19">
        <f>ROUND(E86*F86,1)</f>
        <v>0</v>
      </c>
      <c r="J86" s="1"/>
    </row>
    <row r="87" spans="1:10" ht="45" customHeight="1">
      <c r="A87" s="13">
        <v>64</v>
      </c>
      <c r="B87" s="14" t="s">
        <v>14</v>
      </c>
      <c r="C87" s="15" t="s">
        <v>232</v>
      </c>
      <c r="D87" s="16" t="s">
        <v>55</v>
      </c>
      <c r="E87" s="17">
        <f>66.6*2</f>
        <v>133.2</v>
      </c>
      <c r="F87" s="18"/>
      <c r="G87" s="19">
        <f>ROUND(E87*F87,1)</f>
        <v>0</v>
      </c>
      <c r="J87" s="1"/>
    </row>
    <row r="88" spans="1:10" ht="27.75" customHeight="1">
      <c r="A88" s="20"/>
      <c r="B88" s="21"/>
      <c r="C88" s="22" t="s">
        <v>79</v>
      </c>
      <c r="D88" s="20"/>
      <c r="E88" s="23"/>
      <c r="F88" s="24"/>
      <c r="G88" s="24">
        <f>SUM(G86:G87)</f>
        <v>0</v>
      </c>
      <c r="J88" s="1"/>
    </row>
    <row r="89" spans="1:10" ht="33.75" customHeight="1">
      <c r="A89" s="8"/>
      <c r="B89" s="9" t="s">
        <v>106</v>
      </c>
      <c r="C89" s="10" t="s">
        <v>80</v>
      </c>
      <c r="D89" s="8"/>
      <c r="E89" s="25"/>
      <c r="F89" s="12"/>
      <c r="G89" s="12"/>
      <c r="J89" s="1"/>
    </row>
    <row r="90" spans="1:10" ht="45" customHeight="1">
      <c r="A90" s="13">
        <v>65</v>
      </c>
      <c r="B90" s="14" t="s">
        <v>97</v>
      </c>
      <c r="C90" s="15" t="s">
        <v>233</v>
      </c>
      <c r="D90" s="16" t="s">
        <v>55</v>
      </c>
      <c r="E90" s="17">
        <f>66.6*2</f>
        <v>133.2</v>
      </c>
      <c r="F90" s="18"/>
      <c r="G90" s="19">
        <f aca="true" t="shared" si="7" ref="G90:G112">ROUND(E90*F90,1)</f>
        <v>0</v>
      </c>
      <c r="J90" s="1"/>
    </row>
    <row r="91" spans="1:10" ht="45" customHeight="1">
      <c r="A91" s="13">
        <v>66</v>
      </c>
      <c r="B91" s="14" t="s">
        <v>17</v>
      </c>
      <c r="C91" s="15" t="s">
        <v>234</v>
      </c>
      <c r="D91" s="16" t="s">
        <v>55</v>
      </c>
      <c r="E91" s="17">
        <f>4*12+2*8</f>
        <v>64</v>
      </c>
      <c r="F91" s="18"/>
      <c r="G91" s="19">
        <f t="shared" si="7"/>
        <v>0</v>
      </c>
      <c r="J91" s="1"/>
    </row>
    <row r="92" spans="1:10" ht="45" customHeight="1">
      <c r="A92" s="13">
        <v>67</v>
      </c>
      <c r="B92" s="14" t="s">
        <v>15</v>
      </c>
      <c r="C92" s="15" t="s">
        <v>16</v>
      </c>
      <c r="D92" s="16" t="s">
        <v>55</v>
      </c>
      <c r="E92" s="17">
        <f>66.6*2</f>
        <v>133.2</v>
      </c>
      <c r="F92" s="18"/>
      <c r="G92" s="19">
        <f t="shared" si="7"/>
        <v>0</v>
      </c>
      <c r="J92" s="1"/>
    </row>
    <row r="93" spans="1:10" ht="45" customHeight="1">
      <c r="A93" s="13">
        <v>68</v>
      </c>
      <c r="B93" s="14" t="s">
        <v>185</v>
      </c>
      <c r="C93" s="15" t="s">
        <v>186</v>
      </c>
      <c r="D93" s="16" t="s">
        <v>99</v>
      </c>
      <c r="E93" s="17">
        <v>1</v>
      </c>
      <c r="F93" s="18"/>
      <c r="G93" s="19">
        <f t="shared" si="7"/>
        <v>0</v>
      </c>
      <c r="J93" s="1"/>
    </row>
    <row r="94" spans="1:10" ht="45" customHeight="1">
      <c r="A94" s="13">
        <v>69</v>
      </c>
      <c r="B94" s="14" t="s">
        <v>18</v>
      </c>
      <c r="C94" s="15" t="s">
        <v>19</v>
      </c>
      <c r="D94" s="16" t="s">
        <v>55</v>
      </c>
      <c r="E94" s="17">
        <f>5*4*1.3+0.5*4</f>
        <v>28</v>
      </c>
      <c r="F94" s="18"/>
      <c r="G94" s="19">
        <f t="shared" si="7"/>
        <v>0</v>
      </c>
      <c r="J94" s="1"/>
    </row>
    <row r="95" spans="1:10" ht="45" customHeight="1">
      <c r="A95" s="13">
        <v>70</v>
      </c>
      <c r="B95" s="14" t="s">
        <v>81</v>
      </c>
      <c r="C95" s="15" t="s">
        <v>235</v>
      </c>
      <c r="D95" s="16" t="s">
        <v>55</v>
      </c>
      <c r="E95" s="17">
        <f>7*4</f>
        <v>28</v>
      </c>
      <c r="F95" s="18"/>
      <c r="G95" s="19">
        <f t="shared" si="7"/>
        <v>0</v>
      </c>
      <c r="J95" s="1"/>
    </row>
    <row r="96" spans="1:10" ht="45" customHeight="1">
      <c r="A96" s="13">
        <v>71</v>
      </c>
      <c r="B96" s="14" t="s">
        <v>82</v>
      </c>
      <c r="C96" s="15" t="s">
        <v>236</v>
      </c>
      <c r="D96" s="16" t="s">
        <v>55</v>
      </c>
      <c r="E96" s="17">
        <f>2*7.6+4*7.6</f>
        <v>45.599999999999994</v>
      </c>
      <c r="F96" s="18"/>
      <c r="G96" s="19">
        <f t="shared" si="7"/>
        <v>0</v>
      </c>
      <c r="J96" s="1"/>
    </row>
    <row r="97" spans="1:10" ht="45" customHeight="1">
      <c r="A97" s="13">
        <v>72</v>
      </c>
      <c r="B97" s="14" t="s">
        <v>83</v>
      </c>
      <c r="C97" s="15" t="s">
        <v>238</v>
      </c>
      <c r="D97" s="16" t="s">
        <v>55</v>
      </c>
      <c r="E97" s="17">
        <f>6*2</f>
        <v>12</v>
      </c>
      <c r="F97" s="18"/>
      <c r="G97" s="19">
        <f t="shared" si="7"/>
        <v>0</v>
      </c>
      <c r="J97" s="1"/>
    </row>
    <row r="98" spans="1:10" ht="60" customHeight="1">
      <c r="A98" s="13">
        <v>73</v>
      </c>
      <c r="B98" s="14" t="s">
        <v>191</v>
      </c>
      <c r="C98" s="15" t="s">
        <v>237</v>
      </c>
      <c r="D98" s="16" t="s">
        <v>50</v>
      </c>
      <c r="E98" s="17">
        <f>1*1.3*4+2.6*4+0.55*16</f>
        <v>24.400000000000002</v>
      </c>
      <c r="F98" s="18"/>
      <c r="G98" s="19">
        <f t="shared" si="7"/>
        <v>0</v>
      </c>
      <c r="J98" s="1"/>
    </row>
    <row r="99" spans="1:10" ht="54.75" customHeight="1">
      <c r="A99" s="13">
        <v>74</v>
      </c>
      <c r="B99" s="14" t="s">
        <v>192</v>
      </c>
      <c r="C99" s="15" t="s">
        <v>239</v>
      </c>
      <c r="D99" s="16" t="s">
        <v>50</v>
      </c>
      <c r="E99" s="17">
        <f>1.3*10.5*2+0.55*4</f>
        <v>29.5</v>
      </c>
      <c r="F99" s="18"/>
      <c r="G99" s="19">
        <f>ROUND(E99*F99,1)</f>
        <v>0</v>
      </c>
      <c r="J99" s="1"/>
    </row>
    <row r="100" spans="1:10" ht="44.25" customHeight="1">
      <c r="A100" s="13">
        <v>75</v>
      </c>
      <c r="B100" s="14" t="s">
        <v>84</v>
      </c>
      <c r="C100" s="15" t="s">
        <v>10</v>
      </c>
      <c r="D100" s="16" t="s">
        <v>37</v>
      </c>
      <c r="E100" s="17">
        <f>2*0.03*0.05*7.6+4*0.015*0.05*7.6</f>
        <v>0.0456</v>
      </c>
      <c r="F100" s="18"/>
      <c r="G100" s="19">
        <f t="shared" si="7"/>
        <v>0</v>
      </c>
      <c r="J100" s="1"/>
    </row>
    <row r="101" spans="1:10" ht="95.25" customHeight="1">
      <c r="A101" s="13">
        <v>76</v>
      </c>
      <c r="B101" s="14" t="s">
        <v>85</v>
      </c>
      <c r="C101" s="15" t="s">
        <v>240</v>
      </c>
      <c r="D101" s="16" t="s">
        <v>37</v>
      </c>
      <c r="E101" s="17">
        <f>(8*2.78)*2*0.02*0.02+(4*2.78)*0.02*0.03+(4*10.65)*0.015*0.02+4*1.5*0.02*0.02+(4*1.5+2*10.15)*0.02*0.03</f>
        <v>0.055424</v>
      </c>
      <c r="F101" s="18"/>
      <c r="G101" s="19">
        <f t="shared" si="7"/>
        <v>0</v>
      </c>
      <c r="J101" s="1"/>
    </row>
    <row r="102" spans="1:10" ht="80.25" customHeight="1">
      <c r="A102" s="13">
        <v>77</v>
      </c>
      <c r="B102" s="14" t="s">
        <v>117</v>
      </c>
      <c r="C102" s="15" t="s">
        <v>241</v>
      </c>
      <c r="D102" s="16" t="s">
        <v>118</v>
      </c>
      <c r="E102" s="17">
        <f>6.05*67*2+49*2*2*1.58*1.2+54*0.157*1.2+22*4*0.45*0.616+(2912+1656)*0.5*0.616</f>
        <v>2623.8271999999997</v>
      </c>
      <c r="F102" s="18"/>
      <c r="G102" s="19">
        <f t="shared" si="7"/>
        <v>0</v>
      </c>
      <c r="J102" s="1"/>
    </row>
    <row r="103" spans="1:10" ht="45" customHeight="1">
      <c r="A103" s="13">
        <v>78</v>
      </c>
      <c r="B103" s="14" t="s">
        <v>13</v>
      </c>
      <c r="C103" s="15" t="s">
        <v>148</v>
      </c>
      <c r="D103" s="16" t="s">
        <v>118</v>
      </c>
      <c r="E103" s="17">
        <f>10.15*4*0.4*0.003*7850</f>
        <v>382.45200000000006</v>
      </c>
      <c r="F103" s="18"/>
      <c r="G103" s="19">
        <f t="shared" si="7"/>
        <v>0</v>
      </c>
      <c r="J103" s="1"/>
    </row>
    <row r="104" spans="1:10" ht="45" customHeight="1">
      <c r="A104" s="13">
        <v>79</v>
      </c>
      <c r="B104" s="14" t="s">
        <v>122</v>
      </c>
      <c r="C104" s="15" t="s">
        <v>123</v>
      </c>
      <c r="D104" s="16" t="s">
        <v>120</v>
      </c>
      <c r="E104" s="17">
        <f>8</f>
        <v>8</v>
      </c>
      <c r="F104" s="18"/>
      <c r="G104" s="19">
        <f t="shared" si="7"/>
        <v>0</v>
      </c>
      <c r="J104" s="1"/>
    </row>
    <row r="105" spans="1:10" ht="45" customHeight="1">
      <c r="A105" s="13">
        <v>80</v>
      </c>
      <c r="B105" s="14" t="s">
        <v>119</v>
      </c>
      <c r="C105" s="15" t="s">
        <v>121</v>
      </c>
      <c r="D105" s="16" t="s">
        <v>120</v>
      </c>
      <c r="E105" s="17">
        <f>18</f>
        <v>18</v>
      </c>
      <c r="F105" s="18"/>
      <c r="G105" s="19">
        <f t="shared" si="7"/>
        <v>0</v>
      </c>
      <c r="J105" s="1"/>
    </row>
    <row r="106" spans="1:10" ht="45" customHeight="1">
      <c r="A106" s="13">
        <v>81</v>
      </c>
      <c r="B106" s="14" t="s">
        <v>162</v>
      </c>
      <c r="C106" s="15" t="s">
        <v>163</v>
      </c>
      <c r="D106" s="16" t="s">
        <v>50</v>
      </c>
      <c r="E106" s="17">
        <f>4.5*10.5*2</f>
        <v>94.5</v>
      </c>
      <c r="F106" s="18"/>
      <c r="G106" s="19">
        <f>ROUND(E106*F106,1)</f>
        <v>0</v>
      </c>
      <c r="J106" s="1"/>
    </row>
    <row r="107" spans="1:10" ht="45" customHeight="1">
      <c r="A107" s="13">
        <v>82</v>
      </c>
      <c r="B107" s="14" t="s">
        <v>115</v>
      </c>
      <c r="C107" s="15" t="s">
        <v>242</v>
      </c>
      <c r="D107" s="16" t="s">
        <v>50</v>
      </c>
      <c r="E107" s="17">
        <f>757.49+596.82+170.19</f>
        <v>1524.5</v>
      </c>
      <c r="F107" s="18"/>
      <c r="G107" s="19">
        <f t="shared" si="7"/>
        <v>0</v>
      </c>
      <c r="J107" s="1"/>
    </row>
    <row r="108" spans="1:10" ht="45" customHeight="1">
      <c r="A108" s="13">
        <v>83</v>
      </c>
      <c r="B108" s="14" t="s">
        <v>188</v>
      </c>
      <c r="C108" s="15" t="s">
        <v>190</v>
      </c>
      <c r="D108" s="16" t="s">
        <v>189</v>
      </c>
      <c r="E108" s="17">
        <f>2*15*2+3*2*4+55.2*15*4.5</f>
        <v>3810</v>
      </c>
      <c r="F108" s="18"/>
      <c r="G108" s="19">
        <f t="shared" si="7"/>
        <v>0</v>
      </c>
      <c r="J108" s="1"/>
    </row>
    <row r="109" spans="1:10" ht="69.75" customHeight="1">
      <c r="A109" s="13">
        <v>84</v>
      </c>
      <c r="B109" s="14" t="s">
        <v>110</v>
      </c>
      <c r="C109" s="53" t="s">
        <v>243</v>
      </c>
      <c r="D109" s="16" t="s">
        <v>37</v>
      </c>
      <c r="E109" s="17">
        <f>0.1*1.1*(34+34)+0.15*65.1+0.18*65+0.7*58.5+8.3*2*0.7</f>
        <v>81.515</v>
      </c>
      <c r="F109" s="18"/>
      <c r="G109" s="19">
        <f t="shared" si="7"/>
        <v>0</v>
      </c>
      <c r="J109" s="1"/>
    </row>
    <row r="110" spans="1:10" ht="45" customHeight="1">
      <c r="A110" s="13">
        <v>85</v>
      </c>
      <c r="B110" s="14" t="s">
        <v>103</v>
      </c>
      <c r="C110" s="15" t="s">
        <v>245</v>
      </c>
      <c r="D110" s="16" t="s">
        <v>55</v>
      </c>
      <c r="E110" s="17">
        <f>83.16</f>
        <v>83.16</v>
      </c>
      <c r="F110" s="18"/>
      <c r="G110" s="19">
        <f t="shared" si="7"/>
        <v>0</v>
      </c>
      <c r="J110" s="1"/>
    </row>
    <row r="111" spans="1:10" ht="45" customHeight="1">
      <c r="A111" s="13">
        <v>86</v>
      </c>
      <c r="B111" s="14" t="s">
        <v>195</v>
      </c>
      <c r="C111" s="15" t="s">
        <v>244</v>
      </c>
      <c r="D111" s="16" t="s">
        <v>99</v>
      </c>
      <c r="E111" s="17">
        <f>6*11</f>
        <v>66</v>
      </c>
      <c r="F111" s="18"/>
      <c r="G111" s="19">
        <f>ROUND(E111*F111,1)</f>
        <v>0</v>
      </c>
      <c r="J111" s="1"/>
    </row>
    <row r="112" spans="1:10" ht="45" customHeight="1">
      <c r="A112" s="13">
        <v>87</v>
      </c>
      <c r="B112" s="14" t="s">
        <v>113</v>
      </c>
      <c r="C112" s="15" t="s">
        <v>114</v>
      </c>
      <c r="D112" s="16" t="s">
        <v>50</v>
      </c>
      <c r="E112" s="17">
        <f>581.5+10.5*1.3*2</f>
        <v>608.8</v>
      </c>
      <c r="F112" s="18"/>
      <c r="G112" s="19">
        <f t="shared" si="7"/>
        <v>0</v>
      </c>
      <c r="J112" s="1"/>
    </row>
    <row r="113" spans="1:10" ht="27.75" customHeight="1">
      <c r="A113" s="20"/>
      <c r="B113" s="21"/>
      <c r="C113" s="22" t="s">
        <v>86</v>
      </c>
      <c r="D113" s="20"/>
      <c r="E113" s="23"/>
      <c r="F113" s="24"/>
      <c r="G113" s="24">
        <f>SUM(G90:G112)</f>
        <v>0</v>
      </c>
      <c r="J113" s="1"/>
    </row>
    <row r="114" spans="1:10" ht="39.75" customHeight="1">
      <c r="A114" s="31"/>
      <c r="B114" s="32"/>
      <c r="C114" s="33" t="s">
        <v>87</v>
      </c>
      <c r="D114" s="34"/>
      <c r="E114" s="35"/>
      <c r="F114" s="36"/>
      <c r="G114" s="37">
        <f>G15+G31+G42+G50+G58+G68+G84+G88+G113+G77</f>
        <v>0</v>
      </c>
      <c r="J114" s="1"/>
    </row>
    <row r="115" spans="1:10" ht="39.75" customHeight="1">
      <c r="A115" s="38"/>
      <c r="B115" s="39"/>
      <c r="C115" s="40" t="s">
        <v>107</v>
      </c>
      <c r="D115" s="41"/>
      <c r="E115" s="42"/>
      <c r="F115" s="43"/>
      <c r="G115" s="44">
        <f>ROUNDUP(G114*0.21,1)</f>
        <v>0</v>
      </c>
      <c r="J115" s="1"/>
    </row>
    <row r="116" spans="1:10" ht="39.75" customHeight="1">
      <c r="A116" s="45"/>
      <c r="B116" s="46"/>
      <c r="C116" s="47" t="s">
        <v>88</v>
      </c>
      <c r="D116" s="48"/>
      <c r="E116" s="49"/>
      <c r="F116" s="50"/>
      <c r="G116" s="51">
        <f>G114+G115</f>
        <v>0</v>
      </c>
      <c r="J116" s="1"/>
    </row>
  </sheetData>
  <sheetProtection selectLockedCells="1" selectUnlockedCells="1"/>
  <mergeCells count="4">
    <mergeCell ref="F4:G4"/>
    <mergeCell ref="A1:B1"/>
    <mergeCell ref="A2:B2"/>
    <mergeCell ref="A3:B3"/>
  </mergeCells>
  <printOptions horizontalCentered="1"/>
  <pageMargins left="0.7874015748031497" right="0.7874015748031497" top="0.3937007874015748" bottom="0.7480314960629921" header="0.5118110236220472" footer="0.3937007874015748"/>
  <pageSetup fitToHeight="6" fitToWidth="1" horizontalDpi="300" verticalDpi="300" orientation="landscape" paperSize="9" scale="5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Zavadil Jaroslav</dc:creator>
  <cp:keywords/>
  <dc:description/>
  <cp:lastModifiedBy>Petr Chomický</cp:lastModifiedBy>
  <cp:lastPrinted>2014-07-20T22:37:03Z</cp:lastPrinted>
  <dcterms:created xsi:type="dcterms:W3CDTF">2013-06-08T20:45:03Z</dcterms:created>
  <dcterms:modified xsi:type="dcterms:W3CDTF">2015-02-20T10:25:58Z</dcterms:modified>
  <cp:category/>
  <cp:version/>
  <cp:contentType/>
  <cp:contentStatus/>
</cp:coreProperties>
</file>