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<sst xmlns="http://schemas.openxmlformats.org/spreadsheetml/2006/main" count="1068" uniqueCount="458">
  <si>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</si>
  <si>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</si>
  <si>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</si>
  <si>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</si>
  <si>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</si>
  <si>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</si>
  <si>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</si>
  <si>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</si>
  <si>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</si>
  <si>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</si>
  <si>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</si>
  <si>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</si>
  <si>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</si>
  <si>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</si>
  <si>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</si>
  <si>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</si>
  <si>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</si>
  <si>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</si>
  <si>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</si>
  <si>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</si>
  <si>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</si>
  <si>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</si>
  <si>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</si>
  <si>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</si>
  <si>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</si>
  <si>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</si>
  <si>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</si>
  <si>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</si>
  <si>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</si>
  <si>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</si>
  <si>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</si>
  <si>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</si>
  <si>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</si>
  <si>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</si>
  <si>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</si>
  <si>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</si>
  <si>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</si>
  <si>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</si>
  <si>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</si>
  <si>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</si>
  <si>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</si>
  <si>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</si>
  <si>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</si>
  <si>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</si>
  <si>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</si>
  <si>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</si>
  <si>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</si>
  <si>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</si>
  <si>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</si>
  <si>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</si>
  <si>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</si>
  <si>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</si>
  <si>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</si>
  <si>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</si>
  <si>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</si>
  <si>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</si>
  <si>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</si>
  <si>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</si>
  <si>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</si>
  <si>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</si>
  <si>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</si>
  <si>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</si>
  <si>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</si>
  <si>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</si>
  <si>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</si>
  <si>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</si>
  <si>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</si>
  <si>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</si>
  <si>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</si>
  <si>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</si>
  <si>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</si>
  <si>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</si>
  <si>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</si>
  <si>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</si>
  <si>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</si>
  <si>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</si>
  <si>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</si>
  <si>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</si>
  <si>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</si>
  <si>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</si>
  <si>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</si>
  <si>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</si>
  <si>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</si>
  <si>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</si>
  <si>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</si>
  <si>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</si>
  <si>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</si>
  <si>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</si>
  <si>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Poznámka:</t>
  </si>
  <si>
    <t>Objekt</t>
  </si>
  <si>
    <t>Kód</t>
  </si>
  <si>
    <t>121101100R00</t>
  </si>
  <si>
    <t>122201101R00</t>
  </si>
  <si>
    <t>132201110R00</t>
  </si>
  <si>
    <t>162701105R00</t>
  </si>
  <si>
    <t>162701109R00</t>
  </si>
  <si>
    <t>171101103R00</t>
  </si>
  <si>
    <t>171201201R00</t>
  </si>
  <si>
    <t>180402111R00</t>
  </si>
  <si>
    <t>00572400</t>
  </si>
  <si>
    <t>181101102R00</t>
  </si>
  <si>
    <t>181301101R00</t>
  </si>
  <si>
    <t>199000002R00</t>
  </si>
  <si>
    <t>211561111R00</t>
  </si>
  <si>
    <t>212752113R00</t>
  </si>
  <si>
    <t>274313611R00</t>
  </si>
  <si>
    <t>310235241R00</t>
  </si>
  <si>
    <t>311211126R00</t>
  </si>
  <si>
    <t>311211128R00</t>
  </si>
  <si>
    <t>327215120R00</t>
  </si>
  <si>
    <t>348942121R00</t>
  </si>
  <si>
    <t>001 6VD</t>
  </si>
  <si>
    <t>392573511R00</t>
  </si>
  <si>
    <t>434191421R00</t>
  </si>
  <si>
    <t>58388010</t>
  </si>
  <si>
    <t>465511127R00</t>
  </si>
  <si>
    <t>564761111R00</t>
  </si>
  <si>
    <t>564871111R00</t>
  </si>
  <si>
    <t>953932312R00</t>
  </si>
  <si>
    <t>953935111R00</t>
  </si>
  <si>
    <t>597103111R00</t>
  </si>
  <si>
    <t>59227130</t>
  </si>
  <si>
    <t>953935191R00</t>
  </si>
  <si>
    <t>627452101R00</t>
  </si>
  <si>
    <t>711</t>
  </si>
  <si>
    <t>711502911R00</t>
  </si>
  <si>
    <t>711491272R00</t>
  </si>
  <si>
    <t>711823129RT2</t>
  </si>
  <si>
    <t>69365110</t>
  </si>
  <si>
    <t>28323118</t>
  </si>
  <si>
    <t>998711201R00</t>
  </si>
  <si>
    <t>87</t>
  </si>
  <si>
    <t>28611146.A</t>
  </si>
  <si>
    <t>871313121R00</t>
  </si>
  <si>
    <t>877313122R00</t>
  </si>
  <si>
    <t>877313123R00</t>
  </si>
  <si>
    <t>877353121R00</t>
  </si>
  <si>
    <t>28651754.A</t>
  </si>
  <si>
    <t>28651704.A</t>
  </si>
  <si>
    <t>28651662.A</t>
  </si>
  <si>
    <t>28651661.A</t>
  </si>
  <si>
    <t>28651660.A</t>
  </si>
  <si>
    <t>28651657.A</t>
  </si>
  <si>
    <t>28651656.A</t>
  </si>
  <si>
    <t>28651655.A</t>
  </si>
  <si>
    <t>28651812.A</t>
  </si>
  <si>
    <t>91</t>
  </si>
  <si>
    <t>917461111R00</t>
  </si>
  <si>
    <t>58380373</t>
  </si>
  <si>
    <t>96</t>
  </si>
  <si>
    <t>962022391R00</t>
  </si>
  <si>
    <t>962052314R00</t>
  </si>
  <si>
    <t>963023612R00</t>
  </si>
  <si>
    <t>965022131R00</t>
  </si>
  <si>
    <t>967042713R00</t>
  </si>
  <si>
    <t>967042712R00</t>
  </si>
  <si>
    <t>113107310R00</t>
  </si>
  <si>
    <t>113107420R00</t>
  </si>
  <si>
    <t>113108310R00</t>
  </si>
  <si>
    <t>976092311R00</t>
  </si>
  <si>
    <t>976085311R00</t>
  </si>
  <si>
    <t>976074141R00</t>
  </si>
  <si>
    <t>976071111R00</t>
  </si>
  <si>
    <t>979082111R00</t>
  </si>
  <si>
    <t>979082121R00</t>
  </si>
  <si>
    <t>979081111R00</t>
  </si>
  <si>
    <t>979081121R00</t>
  </si>
  <si>
    <t>979990113R00</t>
  </si>
  <si>
    <t>979990108R00</t>
  </si>
  <si>
    <t>979990001R00</t>
  </si>
  <si>
    <t>H01</t>
  </si>
  <si>
    <t>998011001R00</t>
  </si>
  <si>
    <t>M21</t>
  </si>
  <si>
    <t>210010125R00</t>
  </si>
  <si>
    <t>001 10VD</t>
  </si>
  <si>
    <t>M46</t>
  </si>
  <si>
    <t>460420022R00</t>
  </si>
  <si>
    <t>460490012R00</t>
  </si>
  <si>
    <t>RT-1638</t>
  </si>
  <si>
    <t>JÁCHYMOV</t>
  </si>
  <si>
    <t>Zkrácený popis</t>
  </si>
  <si>
    <t>Rozměry</t>
  </si>
  <si>
    <t>Odkopávky a prokopávky</t>
  </si>
  <si>
    <t>Sejmutí ornice, pl. do 400 m2, přemístění do 50 m</t>
  </si>
  <si>
    <t>25,0*0,5*0,1  ;  U OP. ZDI</t>
  </si>
  <si>
    <t>36,0   ;  horní plocha zdi</t>
  </si>
  <si>
    <t>Odkopávky nezapažené v hor. 3 do 100 m3</t>
  </si>
  <si>
    <t>25,0*0,5*0,4  ;  U OP. ZDI   l x š x tl</t>
  </si>
  <si>
    <t>(0,15+0,2)*140,0  ;  (konstr. + sanace) x pl. - mimo pl. sch</t>
  </si>
  <si>
    <t>(1,2*28,0+0,9*3,5)*0,4  ;  (š x dl) x tl  sch. š 1,2 m+0,9m</t>
  </si>
  <si>
    <t>(140,0+1,2*28,0+0,9*3,5)*0,1  ;  vxspádování pláně</t>
  </si>
  <si>
    <t>5,0*6,0*1,0  ;  šx1xpl řez 3</t>
  </si>
  <si>
    <t>Hloubené vykopávky</t>
  </si>
  <si>
    <t>Hloubení rýh š.do 60 cm v hor.3 do 50 m3, STROJNĚ</t>
  </si>
  <si>
    <t>0,6*0,5*(31,0+2,0+2,0)  ;  dl + příp</t>
  </si>
  <si>
    <t>Přemístění výkopku</t>
  </si>
  <si>
    <t>Vodorovné přemístění výkopku z hor.1-4 do 10000 m</t>
  </si>
  <si>
    <t>116,375+10,5-17,675</t>
  </si>
  <si>
    <t>Příplatek k vod. přemístění hor.1-4 za další 1 km</t>
  </si>
  <si>
    <t>109,2*19</t>
  </si>
  <si>
    <t>Konstrukce ze zemin</t>
  </si>
  <si>
    <t>Uložení sypaniny do násypů zhutněných na 100% PS</t>
  </si>
  <si>
    <t>(140,0+1,2*28,0+0,9*3,5)*0,1  ;  na vyspádování pláně</t>
  </si>
  <si>
    <t>Uložení sypaniny na skl.-sypanina na výšku přes 2m</t>
  </si>
  <si>
    <t>Povrchové úpravy terénu</t>
  </si>
  <si>
    <t>Založení trávníku parkového výsevem v rovině</t>
  </si>
  <si>
    <t>25,0*0,5  ;  u opěrky</t>
  </si>
  <si>
    <t>Směs travní parková I. běžná zátěž PROFI</t>
  </si>
  <si>
    <t>25,0*0,5*0,05  ;  U OP. ZDI</t>
  </si>
  <si>
    <t>Úprava pláně v zářezech v hor. 1-4, se zhutněním</t>
  </si>
  <si>
    <t>140,0+1,2*28,0+0,9*3,5</t>
  </si>
  <si>
    <t>Rozprostření ornice, rovina, tl. do 10 cm do 500m2</t>
  </si>
  <si>
    <t>25,0*0,5  ;  u opěrka</t>
  </si>
  <si>
    <t>Hloubení pro podzemní stěny, ražení a hloubení důlní</t>
  </si>
  <si>
    <t>Poplatek za skládku horniny 1- 4</t>
  </si>
  <si>
    <t>Úprava podloží a základové spáry</t>
  </si>
  <si>
    <t>Výplň odvodňovacích žeber kam. hrubě drcen. 16 mm</t>
  </si>
  <si>
    <t>31,0*0,6*0,5</t>
  </si>
  <si>
    <t>Trativody z drenážních trubek, lože, DN 160 mm</t>
  </si>
  <si>
    <t>Základy</t>
  </si>
  <si>
    <t>Beton základových pasů prostý C 16/20</t>
  </si>
  <si>
    <t>0,4*0,3*25,0*1,05   ;  líc zdi</t>
  </si>
  <si>
    <t>0,2*0,3*28,0*1,05    ;  rub zdi</t>
  </si>
  <si>
    <t>Zdi podpěrné a volné</t>
  </si>
  <si>
    <t>Zazdívka otvorů pl.0,0225 m2 cihlami, tl.zdi 30 cm</t>
  </si>
  <si>
    <t>Zdivo nadzákladové z lomového kamene na MC 15</t>
  </si>
  <si>
    <t>(36,0+20,0+6,0*0,2)*0,3  ;  pl líc + pl rub+Lxv u domu</t>
  </si>
  <si>
    <t>Příplatek za jednostranné lícování zdiva</t>
  </si>
  <si>
    <t>Zdi přehradní a opěrné</t>
  </si>
  <si>
    <t>Zdivo nadzákladové rubové z kamene lom. upraven.</t>
  </si>
  <si>
    <t>3,0*0,7*1,0  ;  L x š x v   kamenná zídka</t>
  </si>
  <si>
    <t>Stěny a příčky</t>
  </si>
  <si>
    <t>Zábradlí ocel. s osazením do otvorů,</t>
  </si>
  <si>
    <t>31,0+4,0+13,0</t>
  </si>
  <si>
    <t>Ocelové zábradlí z litinových sloupků a dřevěné výplně z hranolů</t>
  </si>
  <si>
    <t>Rekonstrukce tunelů</t>
  </si>
  <si>
    <t>Otryskání spár obezdívky, hor.suchá, opěra do 15 m</t>
  </si>
  <si>
    <t>36,0+15,0+28,0</t>
  </si>
  <si>
    <t>Schodiště</t>
  </si>
  <si>
    <t>Osazení stupňů kamenných na desku, broušených</t>
  </si>
  <si>
    <t>1,0*(3,0+2*15,0+5,0)</t>
  </si>
  <si>
    <t>0,75*5</t>
  </si>
  <si>
    <t>Stupeň schod. plný 170x400x1000 rovná podstupnice</t>
  </si>
  <si>
    <t>Zpevněné plochy (kromě vozovek a železničního svršku)</t>
  </si>
  <si>
    <t>Dlažba z kamene suchá s vyk.,výplň spár kam. 20 cm</t>
  </si>
  <si>
    <t>140,0+15,0  ;  pl. mimo schody + mezi schody</t>
  </si>
  <si>
    <t>Podkladní vrstvy komunikací a zpevněných ploch</t>
  </si>
  <si>
    <t>Podklad z kameniva drceného vel.32-63 mm,tl. 20 cm</t>
  </si>
  <si>
    <t>Podklad ze štěrkodrti po zhutnění tloušťky 25 cm</t>
  </si>
  <si>
    <t>Dlažby a předlažby pozemních komunikací a zpevněných ploch</t>
  </si>
  <si>
    <t>Rošt AquaDrain Flex š.100 mřížka, pozink, prodlouž</t>
  </si>
  <si>
    <t>Žlab odvodňovací PG 1000, délky 1000 mm</t>
  </si>
  <si>
    <t>Montáž vpusti pro žlaby polymerbetonové</t>
  </si>
  <si>
    <t>Vpust žlabová ACO N100 - dlouhý tvar</t>
  </si>
  <si>
    <t>Čelní stěna plná pro žlab PG 1000</t>
  </si>
  <si>
    <t>Úprava povrchů vnější</t>
  </si>
  <si>
    <t>Spárování maltou MCs zapuštěné rovné, zdí z kamene</t>
  </si>
  <si>
    <t>(36,0+20,0+6,0*0,2)  ;  pl líc + pl rub+Lxv u domu</t>
  </si>
  <si>
    <t>Izolace proti vodě</t>
  </si>
  <si>
    <t>Montáž profilované fólie proti radonu, svislé</t>
  </si>
  <si>
    <t>Izolace tlaková, ochranná textilie svislá</t>
  </si>
  <si>
    <t>Montáž ukončovací lišty k nopové fólii, včetně dodávky lišty DELTA-MS PROFIL</t>
  </si>
  <si>
    <t>Geotextilie Bontec sg 40/40</t>
  </si>
  <si>
    <t>20,0*1,2</t>
  </si>
  <si>
    <t>Fólie nopová JUNOP 8-0,6</t>
  </si>
  <si>
    <t>Přesun hmot pro izolace proti vodě, výšky do 6 m</t>
  </si>
  <si>
    <t>Potrubí z trub plastických, skleněných a čedičových</t>
  </si>
  <si>
    <t>Trubka kanalizační KGEM SN 4 PVC 125x3,2x1000</t>
  </si>
  <si>
    <t>Montáž trub z plastu, gumový kroužek, DN 150</t>
  </si>
  <si>
    <t>2+2+1+1</t>
  </si>
  <si>
    <t>Montáž přesuvek z plastu, gumový kroužek, DN 150</t>
  </si>
  <si>
    <t>Montáž tvarovek jednoos. plast. gum.kroužek DN 150</t>
  </si>
  <si>
    <t>1+3+3+1+2+1</t>
  </si>
  <si>
    <t>Montáž tvarovek odboč. plast. gum. kroužek DN 200</t>
  </si>
  <si>
    <t>3+3</t>
  </si>
  <si>
    <t>Odbočka kanalizační KGEA 160/ 125/87° PVC</t>
  </si>
  <si>
    <t>Odbočka kanalizační KGEA 160/ 125/45° PVC</t>
  </si>
  <si>
    <t>Koleno kanalizační KGB 160/ 45° PVC</t>
  </si>
  <si>
    <t>Koleno kanalizační KGB 160/ 30° PVC</t>
  </si>
  <si>
    <t>Koleno kanalizační KGB 160/ 15° PVC</t>
  </si>
  <si>
    <t>Koleno kanalizační KGB 125/ 45° PVC</t>
  </si>
  <si>
    <t>Koleno kanalizační KGB 125/ 30° PVC</t>
  </si>
  <si>
    <t>Koleno kanalizační KGB 125/ 15° PVC</t>
  </si>
  <si>
    <t>Přesuvka kanalizační KGU 160 PVC</t>
  </si>
  <si>
    <t>Doplňující konstrukce a práce na pozemních komunikacích a zpevněných plochách</t>
  </si>
  <si>
    <t>Osaz. stoj. obrub. kam. s opěrou, lože z C 12/15</t>
  </si>
  <si>
    <t>13,0+6,0+60,0  ;  levá + pravá strana</t>
  </si>
  <si>
    <t>Obrubník kamenný přímý OP7 12x25 cm</t>
  </si>
  <si>
    <t>Bourání konstrukcí</t>
  </si>
  <si>
    <t>Bourání zdiva nadzákladového kamenného na MVC</t>
  </si>
  <si>
    <t>Bourání pilířů železobetonových</t>
  </si>
  <si>
    <t>0,1*2,5*2  ;  půdor. pl. x výška</t>
  </si>
  <si>
    <t>Vybourání schod.stupňů ze zdi kamenné oboustranně</t>
  </si>
  <si>
    <t>0,8*18 + 5,0*3 + 3,6*4 + 0,8*5   ;  dl sch x počet</t>
  </si>
  <si>
    <t>Bourání kamenných podlah z lomového kamene plochy nad 1 m2</t>
  </si>
  <si>
    <t>28,0*0,8   ;  pl. celkem mezi stupni</t>
  </si>
  <si>
    <t>Odsekání zdiva plošné z kamene, betonu tl. 15 cm</t>
  </si>
  <si>
    <t>36,0+15,0  ;  líc + rub</t>
  </si>
  <si>
    <t>Odsekání zdiva plošné z kamene, betonu tl. 10 cm</t>
  </si>
  <si>
    <t>1,0*28,0  ;  š x L  horní plocha oz</t>
  </si>
  <si>
    <t>Odstranění podkladu pl. 50 m2,kam.těžené tl.10 cm</t>
  </si>
  <si>
    <t>28,0*0,8  ;  pl. celkem mezi stupni</t>
  </si>
  <si>
    <t>Odstranění podkladu nad 50 m2,kam.těžené tl.20 cm</t>
  </si>
  <si>
    <t>Odstranění podkladu pl.do 50 m2, živice tl. 10 cm</t>
  </si>
  <si>
    <t>Vybourání odvodňovačů bez odp. potrubí rigolových</t>
  </si>
  <si>
    <t>Vybourání kanal.rámů a poklopů plochy do 0,6 m2</t>
  </si>
  <si>
    <t>Vybourání kotevních želez zeď beton, kámen</t>
  </si>
  <si>
    <t>20,0  ;  kotev původního madla</t>
  </si>
  <si>
    <t>Vybourání kovových zábradlí a madel</t>
  </si>
  <si>
    <t>28,0+28,0+14,0</t>
  </si>
  <si>
    <t>Vnitrostaveništní doprava suti do 10 m</t>
  </si>
  <si>
    <t>Příplatek k vnitrost. dopravě suti za dalších 5 m</t>
  </si>
  <si>
    <t>160,2013*2</t>
  </si>
  <si>
    <t>Odvoz suti a vybour. hmot na skládku do 1 km</t>
  </si>
  <si>
    <t>Příplatek k odvozu za každý další 1 km</t>
  </si>
  <si>
    <t>160,2013*29</t>
  </si>
  <si>
    <t>Poplatek za skládku suti - obalované kam. - asfalt</t>
  </si>
  <si>
    <t>Poplatek za skládku suti - železobeton</t>
  </si>
  <si>
    <t>Poplatek za skládku stavební suti</t>
  </si>
  <si>
    <t>160,2013-30,8-1,2063</t>
  </si>
  <si>
    <t>Budovy občanské výstavby</t>
  </si>
  <si>
    <t>Přesun hmot pro budovy zděné výšky do 6 m</t>
  </si>
  <si>
    <t>0,0006+23,0439+12,4079+141,7409+4,1722+1,1189+10,27+1,09625+65,100+165,7031+0,8191+1,2664+0,0255</t>
  </si>
  <si>
    <t>Elektromontáže</t>
  </si>
  <si>
    <t>Trubka ochranná z PE, uložená volně, DN do 100 mm</t>
  </si>
  <si>
    <t>7,0+2,0  ;  ČEZ + Telefonica</t>
  </si>
  <si>
    <t>Chránička dělená KOPOHALF 110mm - červená typ 06110/2</t>
  </si>
  <si>
    <t>Zemní práce při montážích</t>
  </si>
  <si>
    <t>Zřízení kabelového lože v rýze š. do 65 cm z písku</t>
  </si>
  <si>
    <t>Fólie výstražná z PVC, šířka 33 cm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</si>
  <si>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</si>
  <si>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</si>
  <si>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</si>
  <si>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</si>
  <si>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</si>
  <si>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</si>
  <si>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</si>
  <si>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kg</t>
  </si>
  <si>
    <t>m</t>
  </si>
  <si>
    <t>kus</t>
  </si>
  <si>
    <t>%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</si>
  <si>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</si>
  <si>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</si>
  <si>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</si>
  <si>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</si>
  <si>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</si>
  <si>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</si>
  <si>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</si>
  <si>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</si>
  <si>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</si>
  <si>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</si>
  <si>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</si>
  <si>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</si>
  <si>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 Jiří Vít, Školní 714, 360 07 Karlovy Vary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</si>
  <si>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</si>
  <si>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</si>
  <si>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</si>
  <si>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</si>
  <si>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</si>
  <si>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</si>
  <si>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</si>
  <si>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</si>
  <si>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</si>
  <si>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</si>
  <si>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</si>
  <si>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</si>
  <si>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</si>
  <si>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</si>
  <si>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</si>
  <si>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</si>
  <si>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</si>
  <si>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</si>
  <si>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</si>
  <si>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</si>
  <si>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</si>
  <si>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</si>
  <si>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18_</t>
  </si>
  <si>
    <t>19_</t>
  </si>
  <si>
    <t>21_</t>
  </si>
  <si>
    <t>27_</t>
  </si>
  <si>
    <t>31_</t>
  </si>
  <si>
    <t>32_</t>
  </si>
  <si>
    <t>34_</t>
  </si>
  <si>
    <t>39_</t>
  </si>
  <si>
    <t>43_</t>
  </si>
  <si>
    <t>46_</t>
  </si>
  <si>
    <t>56_</t>
  </si>
  <si>
    <t>59_</t>
  </si>
  <si>
    <t>62_</t>
  </si>
  <si>
    <t>711_</t>
  </si>
  <si>
    <t>87_</t>
  </si>
  <si>
    <t>91_</t>
  </si>
  <si>
    <t>96_</t>
  </si>
  <si>
    <t>H01_</t>
  </si>
  <si>
    <t>M21_</t>
  </si>
  <si>
    <t>M46_</t>
  </si>
  <si>
    <t>1_</t>
  </si>
  <si>
    <t>2_</t>
  </si>
  <si>
    <t>3_</t>
  </si>
  <si>
    <t>4_</t>
  </si>
  <si>
    <t>5_</t>
  </si>
  <si>
    <t>6_</t>
  </si>
  <si>
    <t>71_</t>
  </si>
  <si>
    <t>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</si>
  <si>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</si>
  <si>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</si>
  <si>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</si>
  <si>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</si>
  <si>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</si>
  <si>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</si>
  <si>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</si>
  <si>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</si>
  <si>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</si>
  <si>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</si>
  <si>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</si>
  <si>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</si>
  <si>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</si>
  <si>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</si>
  <si>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</si>
  <si>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</si>
  <si>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</si>
  <si>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</si>
  <si>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</si>
  <si>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</si>
  <si>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</si>
  <si>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</si>
  <si>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</si>
  <si>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</si>
  <si>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</si>
  <si>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</si>
  <si>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</si>
  <si>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</si>
  <si>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Vytýčení sítí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</si>
  <si>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</si>
  <si>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</si>
  <si>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</si>
  <si>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</si>
  <si>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</si>
  <si>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</si>
  <si>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</si>
  <si>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</si>
  <si>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</si>
  <si>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</si>
  <si>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</si>
  <si>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</si>
  <si>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</si>
  <si>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</si>
  <si>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</si>
  <si>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</si>
  <si>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</si>
  <si>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</si>
  <si>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</si>
  <si>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</si>
  <si>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</si>
  <si>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</si>
  <si>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</si>
  <si>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</si>
  <si>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Rekonstrukce schodiště z nám. Republiky na ul. Šafaříkovu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</si>
</sst>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43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97" t="s">
        <v>427</v>
      </c>
      <c r="D1" s="98"/>
      <c r="E1" s="98"/>
      <c r="F1" s="98"/>
      <c r="G1" s="98"/>
      <c r="H1" s="98"/>
      <c r="I1" s="98"/>
    </row>
    <row r="2" spans="1:10" ht="12.75">
      <c r="A2" s="99" t="s">
        <v>1</v>
      </c>
      <c r="B2" s="100"/>
      <c r="C2" s="121" t="s">
        <v>457</v>
      </c>
      <c r="D2" s="101"/>
      <c r="E2" s="103" t="s">
        <v>348</v>
      </c>
      <c r="F2" s="103"/>
      <c r="G2" s="100"/>
      <c r="H2" s="103" t="s">
        <v>453</v>
      </c>
      <c r="I2" s="104"/>
      <c r="J2" s="34"/>
    </row>
    <row r="3" spans="1:10" ht="12.75">
      <c r="A3" s="96"/>
      <c r="B3" s="68"/>
      <c r="C3" s="102"/>
      <c r="D3" s="102"/>
      <c r="E3" s="68"/>
      <c r="F3" s="68"/>
      <c r="G3" s="68"/>
      <c r="H3" s="68"/>
      <c r="I3" s="90"/>
      <c r="J3" s="34"/>
    </row>
    <row r="4" spans="1:10" ht="12.75">
      <c r="A4" s="91" t="s">
        <v>2</v>
      </c>
      <c r="B4" s="68"/>
      <c r="C4" s="67" t="s">
        <v>178</v>
      </c>
      <c r="D4" s="68"/>
      <c r="E4" s="67" t="s">
        <v>349</v>
      </c>
      <c r="F4" s="67" t="s">
        <v>353</v>
      </c>
      <c r="G4" s="68"/>
      <c r="H4" s="67" t="s">
        <v>453</v>
      </c>
      <c r="I4" s="89"/>
      <c r="J4" s="34"/>
    </row>
    <row r="5" spans="1:10" ht="12.75">
      <c r="A5" s="96"/>
      <c r="B5" s="68"/>
      <c r="C5" s="68"/>
      <c r="D5" s="68"/>
      <c r="E5" s="68"/>
      <c r="F5" s="68"/>
      <c r="G5" s="68"/>
      <c r="H5" s="68"/>
      <c r="I5" s="90"/>
      <c r="J5" s="34"/>
    </row>
    <row r="6" spans="1:10" ht="12.75">
      <c r="A6" s="91" t="s">
        <v>3</v>
      </c>
      <c r="B6" s="68"/>
      <c r="C6" s="67" t="s">
        <v>179</v>
      </c>
      <c r="D6" s="68"/>
      <c r="E6" s="67" t="s">
        <v>350</v>
      </c>
      <c r="F6" s="67"/>
      <c r="G6" s="68"/>
      <c r="H6" s="67" t="s">
        <v>453</v>
      </c>
      <c r="I6" s="89"/>
      <c r="J6" s="34"/>
    </row>
    <row r="7" spans="1:10" ht="12.75">
      <c r="A7" s="96"/>
      <c r="B7" s="68"/>
      <c r="C7" s="68"/>
      <c r="D7" s="68"/>
      <c r="E7" s="68"/>
      <c r="F7" s="68"/>
      <c r="G7" s="68"/>
      <c r="H7" s="68"/>
      <c r="I7" s="90"/>
      <c r="J7" s="34"/>
    </row>
    <row r="8" spans="1:10" ht="12.75">
      <c r="A8" s="91" t="s">
        <v>331</v>
      </c>
      <c r="B8" s="68"/>
      <c r="C8" s="88" t="s">
        <v>6</v>
      </c>
      <c r="D8" s="68"/>
      <c r="E8" s="67" t="s">
        <v>332</v>
      </c>
      <c r="F8" s="68"/>
      <c r="G8" s="68"/>
      <c r="H8" s="88" t="s">
        <v>454</v>
      </c>
      <c r="I8" s="89" t="s">
        <v>86</v>
      </c>
      <c r="J8" s="34"/>
    </row>
    <row r="9" spans="1:10" ht="12.75">
      <c r="A9" s="96"/>
      <c r="B9" s="68"/>
      <c r="C9" s="68"/>
      <c r="D9" s="68"/>
      <c r="E9" s="68"/>
      <c r="F9" s="68"/>
      <c r="G9" s="68"/>
      <c r="H9" s="68"/>
      <c r="I9" s="90"/>
      <c r="J9" s="34"/>
    </row>
    <row r="10" spans="1:10" ht="12.75">
      <c r="A10" s="91" t="s">
        <v>4</v>
      </c>
      <c r="B10" s="68"/>
      <c r="C10" s="67"/>
      <c r="D10" s="68"/>
      <c r="E10" s="67" t="s">
        <v>351</v>
      </c>
      <c r="F10" s="67"/>
      <c r="G10" s="68"/>
      <c r="H10" s="88" t="s">
        <v>455</v>
      </c>
      <c r="I10" s="94">
        <v>42572</v>
      </c>
      <c r="J10" s="3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5"/>
      <c r="J11" s="34"/>
    </row>
    <row r="12" spans="1:9" ht="23.25" customHeight="1">
      <c r="A12" s="84" t="s">
        <v>412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51" t="s">
        <v>413</v>
      </c>
      <c r="B13" s="86" t="s">
        <v>425</v>
      </c>
      <c r="C13" s="87"/>
      <c r="D13" s="51" t="s">
        <v>428</v>
      </c>
      <c r="E13" s="86" t="s">
        <v>438</v>
      </c>
      <c r="F13" s="87"/>
      <c r="G13" s="51" t="s">
        <v>439</v>
      </c>
      <c r="H13" s="86" t="s">
        <v>456</v>
      </c>
      <c r="I13" s="87"/>
      <c r="J13" s="34"/>
    </row>
    <row r="14" spans="1:10" ht="15" customHeight="1">
      <c r="A14" s="52" t="s">
        <v>414</v>
      </c>
      <c r="B14" s="56" t="s">
        <v>426</v>
      </c>
      <c r="C14" s="59">
        <f>SUM('Stavební rozpočet'!R12:R173)</f>
        <v>0</v>
      </c>
      <c r="D14" s="82" t="s">
        <v>429</v>
      </c>
      <c r="E14" s="83"/>
      <c r="F14" s="59">
        <v>0</v>
      </c>
      <c r="G14" s="82" t="s">
        <v>440</v>
      </c>
      <c r="H14" s="83"/>
      <c r="I14" s="59">
        <v>0</v>
      </c>
      <c r="J14" s="34"/>
    </row>
    <row r="15" spans="1:10" ht="15" customHeight="1">
      <c r="A15" s="53"/>
      <c r="B15" s="56" t="s">
        <v>352</v>
      </c>
      <c r="C15" s="59">
        <f>SUM('Stavební rozpočet'!S12:S173)</f>
        <v>0</v>
      </c>
      <c r="D15" s="82" t="s">
        <v>430</v>
      </c>
      <c r="E15" s="83"/>
      <c r="F15" s="59">
        <v>0</v>
      </c>
      <c r="G15" s="82" t="s">
        <v>441</v>
      </c>
      <c r="H15" s="83"/>
      <c r="I15" s="59">
        <v>0</v>
      </c>
      <c r="J15" s="34"/>
    </row>
    <row r="16" spans="1:10" ht="15" customHeight="1">
      <c r="A16" s="52" t="s">
        <v>415</v>
      </c>
      <c r="B16" s="56" t="s">
        <v>426</v>
      </c>
      <c r="C16" s="59">
        <f>SUM('Stavební rozpočet'!T12:T173)</f>
        <v>0</v>
      </c>
      <c r="D16" s="82" t="s">
        <v>431</v>
      </c>
      <c r="E16" s="83"/>
      <c r="F16" s="59">
        <v>0</v>
      </c>
      <c r="G16" s="82" t="s">
        <v>442</v>
      </c>
      <c r="H16" s="83"/>
      <c r="I16" s="59">
        <v>0</v>
      </c>
      <c r="J16" s="34"/>
    </row>
    <row r="17" spans="1:10" ht="15" customHeight="1">
      <c r="A17" s="53"/>
      <c r="B17" s="56" t="s">
        <v>352</v>
      </c>
      <c r="C17" s="59">
        <f>SUM('Stavební rozpočet'!U12:U173)</f>
        <v>0</v>
      </c>
      <c r="D17" s="82" t="s">
        <v>432</v>
      </c>
      <c r="E17" s="83"/>
      <c r="F17" s="59">
        <v>0</v>
      </c>
      <c r="G17" s="82" t="s">
        <v>443</v>
      </c>
      <c r="H17" s="83"/>
      <c r="I17" s="59">
        <v>0</v>
      </c>
      <c r="J17" s="34"/>
    </row>
    <row r="18" spans="1:10" ht="15" customHeight="1">
      <c r="A18" s="52" t="s">
        <v>416</v>
      </c>
      <c r="B18" s="56" t="s">
        <v>426</v>
      </c>
      <c r="C18" s="59">
        <f>SUM('Stavební rozpočet'!V12:V173)</f>
        <v>0</v>
      </c>
      <c r="D18" s="82"/>
      <c r="E18" s="83"/>
      <c r="F18" s="60"/>
      <c r="G18" s="82" t="s">
        <v>444</v>
      </c>
      <c r="H18" s="83"/>
      <c r="I18" s="59">
        <v>0</v>
      </c>
      <c r="J18" s="34"/>
    </row>
    <row r="19" spans="1:10" ht="15" customHeight="1">
      <c r="A19" s="53"/>
      <c r="B19" s="56" t="s">
        <v>352</v>
      </c>
      <c r="C19" s="59">
        <f>SUM('Stavební rozpočet'!W12:W173)</f>
        <v>0</v>
      </c>
      <c r="D19" s="82"/>
      <c r="E19" s="83"/>
      <c r="F19" s="60"/>
      <c r="G19" s="82" t="s">
        <v>445</v>
      </c>
      <c r="H19" s="83"/>
      <c r="I19" s="59">
        <v>0</v>
      </c>
      <c r="J19" s="34"/>
    </row>
    <row r="20" spans="1:10" ht="15" customHeight="1">
      <c r="A20" s="80" t="s">
        <v>417</v>
      </c>
      <c r="B20" s="81"/>
      <c r="C20" s="59">
        <f>SUM('Stavební rozpočet'!X12:X173)</f>
        <v>0</v>
      </c>
      <c r="D20" s="82"/>
      <c r="E20" s="83"/>
      <c r="F20" s="60"/>
      <c r="G20" s="82"/>
      <c r="H20" s="83"/>
      <c r="I20" s="60"/>
      <c r="J20" s="34"/>
    </row>
    <row r="21" spans="1:10" ht="15" customHeight="1">
      <c r="A21" s="80" t="s">
        <v>418</v>
      </c>
      <c r="B21" s="81"/>
      <c r="C21" s="59">
        <f>SUM('Stavební rozpočet'!P12:P173)</f>
        <v>0</v>
      </c>
      <c r="D21" s="82"/>
      <c r="E21" s="83"/>
      <c r="F21" s="60"/>
      <c r="G21" s="82"/>
      <c r="H21" s="83"/>
      <c r="I21" s="60"/>
      <c r="J21" s="34"/>
    </row>
    <row r="22" spans="1:10" ht="16.5" customHeight="1">
      <c r="A22" s="80" t="s">
        <v>419</v>
      </c>
      <c r="B22" s="81"/>
      <c r="C22" s="59">
        <f>SUM(C14:C21)</f>
        <v>0</v>
      </c>
      <c r="D22" s="80" t="s">
        <v>433</v>
      </c>
      <c r="E22" s="81"/>
      <c r="F22" s="59">
        <f>SUM(F14:F21)</f>
        <v>0</v>
      </c>
      <c r="G22" s="80" t="s">
        <v>446</v>
      </c>
      <c r="H22" s="81"/>
      <c r="I22" s="59">
        <f>SUM(I14:I21)</f>
        <v>0</v>
      </c>
      <c r="J22" s="34"/>
    </row>
    <row r="23" spans="1:10" ht="15" customHeight="1">
      <c r="A23" s="8"/>
      <c r="B23" s="8"/>
      <c r="C23" s="57"/>
      <c r="D23" s="80" t="s">
        <v>434</v>
      </c>
      <c r="E23" s="81"/>
      <c r="F23" s="61">
        <v>0</v>
      </c>
      <c r="G23" s="80" t="s">
        <v>447</v>
      </c>
      <c r="H23" s="81"/>
      <c r="I23" s="59">
        <v>0</v>
      </c>
      <c r="J23" s="34"/>
    </row>
    <row r="24" spans="4:9" ht="15" customHeight="1">
      <c r="D24" s="8"/>
      <c r="E24" s="8"/>
      <c r="F24" s="62"/>
      <c r="G24" s="80" t="s">
        <v>448</v>
      </c>
      <c r="H24" s="81"/>
      <c r="I24" s="64"/>
    </row>
    <row r="25" spans="6:10" ht="15" customHeight="1">
      <c r="F25" s="63"/>
      <c r="G25" s="80" t="s">
        <v>449</v>
      </c>
      <c r="H25" s="81"/>
      <c r="I25" s="59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75" t="s">
        <v>420</v>
      </c>
      <c r="B27" s="76"/>
      <c r="C27" s="65">
        <f>SUM('Stavební rozpočet'!Z12:Z173)</f>
        <v>0</v>
      </c>
      <c r="D27" s="58"/>
      <c r="E27" s="7"/>
      <c r="F27" s="7"/>
      <c r="G27" s="7"/>
      <c r="H27" s="7"/>
      <c r="I27" s="7"/>
    </row>
    <row r="28" spans="1:10" ht="15" customHeight="1">
      <c r="A28" s="75" t="s">
        <v>421</v>
      </c>
      <c r="B28" s="76"/>
      <c r="C28" s="65">
        <f>SUM('Stavební rozpočet'!AA12:AA173)</f>
        <v>0</v>
      </c>
      <c r="D28" s="75" t="s">
        <v>435</v>
      </c>
      <c r="E28" s="76"/>
      <c r="F28" s="65">
        <f>ROUND(C28*(15/100),2)</f>
        <v>0</v>
      </c>
      <c r="G28" s="75" t="s">
        <v>450</v>
      </c>
      <c r="H28" s="76"/>
      <c r="I28" s="65">
        <f>SUM(C27:C29)</f>
        <v>0</v>
      </c>
      <c r="J28" s="34"/>
    </row>
    <row r="29" spans="1:10" ht="15" customHeight="1">
      <c r="A29" s="75" t="s">
        <v>422</v>
      </c>
      <c r="B29" s="76"/>
      <c r="C29" s="65">
        <f>SUM('Stavební rozpočet'!AB12:AB173)+(F22+I22+F23+I23+I24+I25)</f>
        <v>0</v>
      </c>
      <c r="D29" s="75" t="s">
        <v>436</v>
      </c>
      <c r="E29" s="76"/>
      <c r="F29" s="65">
        <f>ROUND(C29*(21/100),2)</f>
        <v>0</v>
      </c>
      <c r="G29" s="75" t="s">
        <v>451</v>
      </c>
      <c r="H29" s="76"/>
      <c r="I29" s="65">
        <f>SUM(F28:F29)+I28</f>
        <v>0</v>
      </c>
      <c r="J29" s="34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77" t="s">
        <v>423</v>
      </c>
      <c r="B31" s="78"/>
      <c r="C31" s="79"/>
      <c r="D31" s="77" t="s">
        <v>437</v>
      </c>
      <c r="E31" s="78"/>
      <c r="F31" s="79"/>
      <c r="G31" s="77" t="s">
        <v>452</v>
      </c>
      <c r="H31" s="78"/>
      <c r="I31" s="79"/>
      <c r="J31" s="35"/>
    </row>
    <row r="32" spans="1:10" ht="14.25" customHeight="1">
      <c r="A32" s="69"/>
      <c r="B32" s="70"/>
      <c r="C32" s="71"/>
      <c r="D32" s="69"/>
      <c r="E32" s="70"/>
      <c r="F32" s="71"/>
      <c r="G32" s="69"/>
      <c r="H32" s="70"/>
      <c r="I32" s="71"/>
      <c r="J32" s="35"/>
    </row>
    <row r="33" spans="1:10" ht="14.25" customHeight="1">
      <c r="A33" s="69"/>
      <c r="B33" s="70"/>
      <c r="C33" s="71"/>
      <c r="D33" s="69"/>
      <c r="E33" s="70"/>
      <c r="F33" s="71"/>
      <c r="G33" s="69"/>
      <c r="H33" s="70"/>
      <c r="I33" s="71"/>
      <c r="J33" s="35"/>
    </row>
    <row r="34" spans="1:10" ht="14.25" customHeight="1">
      <c r="A34" s="69"/>
      <c r="B34" s="70"/>
      <c r="C34" s="71"/>
      <c r="D34" s="69"/>
      <c r="E34" s="70"/>
      <c r="F34" s="71"/>
      <c r="G34" s="69"/>
      <c r="H34" s="70"/>
      <c r="I34" s="71"/>
      <c r="J34" s="35"/>
    </row>
    <row r="35" spans="1:10" ht="14.25" customHeight="1">
      <c r="A35" s="72" t="s">
        <v>424</v>
      </c>
      <c r="B35" s="73"/>
      <c r="C35" s="74"/>
      <c r="D35" s="72" t="s">
        <v>424</v>
      </c>
      <c r="E35" s="73"/>
      <c r="F35" s="74"/>
      <c r="G35" s="72" t="s">
        <v>424</v>
      </c>
      <c r="H35" s="73"/>
      <c r="I35" s="74"/>
      <c r="J35" s="35"/>
    </row>
    <row r="36" spans="1:9" ht="11.25" customHeight="1">
      <c r="A36" s="55" t="s">
        <v>88</v>
      </c>
      <c r="B36" s="47"/>
      <c r="C36" s="47"/>
      <c r="D36" s="47"/>
      <c r="E36" s="47"/>
      <c r="F36" s="47"/>
      <c r="G36" s="47"/>
      <c r="H36" s="47"/>
      <c r="I36" s="47"/>
    </row>
    <row r="37" spans="1:9" ht="409.5" customHeight="1" hidden="1">
      <c r="A37" s="67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I2:I3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6" sqref="B6:C7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9" t="s">
        <v>406</v>
      </c>
      <c r="B1" s="110"/>
      <c r="C1" s="110"/>
      <c r="D1" s="110"/>
      <c r="E1" s="110"/>
      <c r="F1" s="110"/>
      <c r="G1" s="110"/>
    </row>
    <row r="2" spans="1:8" ht="12.75" customHeight="1">
      <c r="A2" s="99" t="s">
        <v>1</v>
      </c>
      <c r="B2" s="121" t="s">
        <v>457</v>
      </c>
      <c r="C2" s="101"/>
      <c r="D2" s="103" t="s">
        <v>348</v>
      </c>
      <c r="E2" s="103"/>
      <c r="F2" s="100"/>
      <c r="G2" s="111"/>
      <c r="H2" s="34"/>
    </row>
    <row r="3" spans="1:8" ht="12.75">
      <c r="A3" s="96"/>
      <c r="B3" s="102"/>
      <c r="C3" s="102"/>
      <c r="D3" s="68"/>
      <c r="E3" s="68"/>
      <c r="F3" s="68"/>
      <c r="G3" s="90"/>
      <c r="H3" s="34"/>
    </row>
    <row r="4" spans="1:8" ht="12.75">
      <c r="A4" s="91" t="s">
        <v>2</v>
      </c>
      <c r="B4" s="67" t="s">
        <v>178</v>
      </c>
      <c r="C4" s="68"/>
      <c r="D4" s="67" t="s">
        <v>349</v>
      </c>
      <c r="E4" s="67" t="s">
        <v>353</v>
      </c>
      <c r="F4" s="68"/>
      <c r="G4" s="90"/>
      <c r="H4" s="34"/>
    </row>
    <row r="5" spans="1:8" ht="12.75">
      <c r="A5" s="96"/>
      <c r="B5" s="68"/>
      <c r="C5" s="68"/>
      <c r="D5" s="68"/>
      <c r="E5" s="68"/>
      <c r="F5" s="68"/>
      <c r="G5" s="90"/>
      <c r="H5" s="34"/>
    </row>
    <row r="6" spans="1:8" ht="12.75">
      <c r="A6" s="91" t="s">
        <v>3</v>
      </c>
      <c r="B6" s="67" t="s">
        <v>179</v>
      </c>
      <c r="C6" s="68"/>
      <c r="D6" s="67" t="s">
        <v>350</v>
      </c>
      <c r="E6" s="67"/>
      <c r="F6" s="68"/>
      <c r="G6" s="90"/>
      <c r="H6" s="34"/>
    </row>
    <row r="7" spans="1:8" ht="12.75">
      <c r="A7" s="96"/>
      <c r="B7" s="68"/>
      <c r="C7" s="68"/>
      <c r="D7" s="68"/>
      <c r="E7" s="68"/>
      <c r="F7" s="68"/>
      <c r="G7" s="90"/>
      <c r="H7" s="34"/>
    </row>
    <row r="8" spans="1:8" ht="12.75">
      <c r="A8" s="91" t="s">
        <v>351</v>
      </c>
      <c r="B8" s="67"/>
      <c r="C8" s="68"/>
      <c r="D8" s="88" t="s">
        <v>333</v>
      </c>
      <c r="E8" s="107">
        <v>42572</v>
      </c>
      <c r="F8" s="68"/>
      <c r="G8" s="90"/>
      <c r="H8" s="34"/>
    </row>
    <row r="9" spans="1:8" ht="12.75">
      <c r="A9" s="105"/>
      <c r="B9" s="106"/>
      <c r="C9" s="106"/>
      <c r="D9" s="106"/>
      <c r="E9" s="106"/>
      <c r="F9" s="106"/>
      <c r="G9" s="108"/>
      <c r="H9" s="34"/>
    </row>
    <row r="10" spans="1:8" ht="12.75">
      <c r="A10" s="42" t="s">
        <v>89</v>
      </c>
      <c r="B10" s="44" t="s">
        <v>90</v>
      </c>
      <c r="C10" s="45" t="s">
        <v>180</v>
      </c>
      <c r="D10" s="46" t="s">
        <v>407</v>
      </c>
      <c r="E10" s="46" t="s">
        <v>408</v>
      </c>
      <c r="F10" s="46" t="s">
        <v>409</v>
      </c>
      <c r="G10" s="49" t="s">
        <v>410</v>
      </c>
      <c r="H10" s="35"/>
    </row>
    <row r="11" spans="1:9" ht="12.75">
      <c r="A11" s="43"/>
      <c r="B11" s="43" t="s">
        <v>18</v>
      </c>
      <c r="C11" s="43" t="s">
        <v>182</v>
      </c>
      <c r="D11" s="47"/>
      <c r="E11" s="47"/>
      <c r="F11" s="50">
        <f aca="true" t="shared" si="0" ref="F11:F34">D11+E11</f>
        <v>0</v>
      </c>
      <c r="G11" s="50">
        <v>0</v>
      </c>
      <c r="H11" s="36" t="s">
        <v>411</v>
      </c>
      <c r="I11" s="36">
        <f aca="true" t="shared" si="1" ref="I11:I34">IF(H11="T",0,F11)</f>
        <v>0</v>
      </c>
    </row>
    <row r="12" spans="1:9" ht="12.75">
      <c r="A12" s="17"/>
      <c r="B12" s="17" t="s">
        <v>19</v>
      </c>
      <c r="C12" s="17" t="s">
        <v>192</v>
      </c>
      <c r="F12" s="36">
        <f t="shared" si="0"/>
        <v>0</v>
      </c>
      <c r="G12" s="36">
        <v>0</v>
      </c>
      <c r="H12" s="36" t="s">
        <v>411</v>
      </c>
      <c r="I12" s="36">
        <f t="shared" si="1"/>
        <v>0</v>
      </c>
    </row>
    <row r="13" spans="1:9" ht="12.75">
      <c r="A13" s="17"/>
      <c r="B13" s="17" t="s">
        <v>22</v>
      </c>
      <c r="C13" s="17" t="s">
        <v>195</v>
      </c>
      <c r="F13" s="36">
        <f t="shared" si="0"/>
        <v>0</v>
      </c>
      <c r="G13" s="36">
        <v>0</v>
      </c>
      <c r="H13" s="36" t="s">
        <v>411</v>
      </c>
      <c r="I13" s="36">
        <f t="shared" si="1"/>
        <v>0</v>
      </c>
    </row>
    <row r="14" spans="1:9" ht="12.75">
      <c r="A14" s="17"/>
      <c r="B14" s="17" t="s">
        <v>23</v>
      </c>
      <c r="C14" s="17" t="s">
        <v>200</v>
      </c>
      <c r="F14" s="36">
        <f t="shared" si="0"/>
        <v>0</v>
      </c>
      <c r="G14" s="36">
        <v>0</v>
      </c>
      <c r="H14" s="36" t="s">
        <v>411</v>
      </c>
      <c r="I14" s="36">
        <f t="shared" si="1"/>
        <v>0</v>
      </c>
    </row>
    <row r="15" spans="1:9" ht="12.75">
      <c r="A15" s="17"/>
      <c r="B15" s="17" t="s">
        <v>24</v>
      </c>
      <c r="C15" s="17" t="s">
        <v>204</v>
      </c>
      <c r="F15" s="36">
        <f t="shared" si="0"/>
        <v>0</v>
      </c>
      <c r="G15" s="36">
        <v>0.00063</v>
      </c>
      <c r="H15" s="36" t="s">
        <v>411</v>
      </c>
      <c r="I15" s="36">
        <f t="shared" si="1"/>
        <v>0</v>
      </c>
    </row>
    <row r="16" spans="1:9" ht="12.75">
      <c r="A16" s="17"/>
      <c r="B16" s="17" t="s">
        <v>25</v>
      </c>
      <c r="C16" s="17" t="s">
        <v>213</v>
      </c>
      <c r="F16" s="36">
        <f t="shared" si="0"/>
        <v>0</v>
      </c>
      <c r="G16" s="36">
        <v>0</v>
      </c>
      <c r="H16" s="36" t="s">
        <v>411</v>
      </c>
      <c r="I16" s="36">
        <f t="shared" si="1"/>
        <v>0</v>
      </c>
    </row>
    <row r="17" spans="1:9" ht="12.75">
      <c r="A17" s="17"/>
      <c r="B17" s="17" t="s">
        <v>27</v>
      </c>
      <c r="C17" s="17" t="s">
        <v>215</v>
      </c>
      <c r="F17" s="36">
        <f t="shared" si="0"/>
        <v>0</v>
      </c>
      <c r="G17" s="36">
        <v>23.04385</v>
      </c>
      <c r="H17" s="36" t="s">
        <v>411</v>
      </c>
      <c r="I17" s="36">
        <f t="shared" si="1"/>
        <v>0</v>
      </c>
    </row>
    <row r="18" spans="1:9" ht="12.75">
      <c r="A18" s="17"/>
      <c r="B18" s="17" t="s">
        <v>33</v>
      </c>
      <c r="C18" s="17" t="s">
        <v>219</v>
      </c>
      <c r="F18" s="36">
        <f t="shared" si="0"/>
        <v>0</v>
      </c>
      <c r="G18" s="36">
        <v>12.40785</v>
      </c>
      <c r="H18" s="36" t="s">
        <v>411</v>
      </c>
      <c r="I18" s="36">
        <f t="shared" si="1"/>
        <v>0</v>
      </c>
    </row>
    <row r="19" spans="1:9" ht="12.75">
      <c r="A19" s="17"/>
      <c r="B19" s="17" t="s">
        <v>37</v>
      </c>
      <c r="C19" s="17" t="s">
        <v>223</v>
      </c>
      <c r="F19" s="36">
        <f t="shared" si="0"/>
        <v>0</v>
      </c>
      <c r="G19" s="36">
        <v>141.74086</v>
      </c>
      <c r="H19" s="36" t="s">
        <v>411</v>
      </c>
      <c r="I19" s="36">
        <f t="shared" si="1"/>
        <v>0</v>
      </c>
    </row>
    <row r="20" spans="1:9" ht="12.75">
      <c r="A20" s="17"/>
      <c r="B20" s="17" t="s">
        <v>38</v>
      </c>
      <c r="C20" s="17" t="s">
        <v>228</v>
      </c>
      <c r="F20" s="36">
        <f t="shared" si="0"/>
        <v>0</v>
      </c>
      <c r="G20" s="36">
        <v>4.17215</v>
      </c>
      <c r="H20" s="36" t="s">
        <v>411</v>
      </c>
      <c r="I20" s="36">
        <f t="shared" si="1"/>
        <v>0</v>
      </c>
    </row>
    <row r="21" spans="1:9" ht="12.75">
      <c r="A21" s="17"/>
      <c r="B21" s="17" t="s">
        <v>40</v>
      </c>
      <c r="C21" s="17" t="s">
        <v>231</v>
      </c>
      <c r="F21" s="36">
        <f t="shared" si="0"/>
        <v>0</v>
      </c>
      <c r="G21" s="36">
        <v>1.11888</v>
      </c>
      <c r="H21" s="36" t="s">
        <v>411</v>
      </c>
      <c r="I21" s="36">
        <f t="shared" si="1"/>
        <v>0</v>
      </c>
    </row>
    <row r="22" spans="1:9" ht="12.75">
      <c r="A22" s="17"/>
      <c r="B22" s="17" t="s">
        <v>45</v>
      </c>
      <c r="C22" s="17" t="s">
        <v>235</v>
      </c>
      <c r="F22" s="36">
        <f t="shared" si="0"/>
        <v>0</v>
      </c>
      <c r="G22" s="36">
        <v>10.27</v>
      </c>
      <c r="H22" s="36" t="s">
        <v>411</v>
      </c>
      <c r="I22" s="36">
        <f t="shared" si="1"/>
        <v>0</v>
      </c>
    </row>
    <row r="23" spans="1:9" ht="12.75">
      <c r="A23" s="17"/>
      <c r="B23" s="17" t="s">
        <v>49</v>
      </c>
      <c r="C23" s="17" t="s">
        <v>238</v>
      </c>
      <c r="F23" s="36">
        <f t="shared" si="0"/>
        <v>0</v>
      </c>
      <c r="G23" s="36">
        <v>1.96247</v>
      </c>
      <c r="H23" s="36" t="s">
        <v>411</v>
      </c>
      <c r="I23" s="36">
        <f t="shared" si="1"/>
        <v>0</v>
      </c>
    </row>
    <row r="24" spans="1:9" ht="12.75">
      <c r="A24" s="17"/>
      <c r="B24" s="17" t="s">
        <v>52</v>
      </c>
      <c r="C24" s="17" t="s">
        <v>243</v>
      </c>
      <c r="F24" s="36">
        <f t="shared" si="0"/>
        <v>0</v>
      </c>
      <c r="G24" s="36">
        <v>65.1</v>
      </c>
      <c r="H24" s="36" t="s">
        <v>411</v>
      </c>
      <c r="I24" s="36">
        <f t="shared" si="1"/>
        <v>0</v>
      </c>
    </row>
    <row r="25" spans="1:9" ht="12.75">
      <c r="A25" s="17"/>
      <c r="B25" s="17" t="s">
        <v>62</v>
      </c>
      <c r="C25" s="17" t="s">
        <v>246</v>
      </c>
      <c r="F25" s="36">
        <f t="shared" si="0"/>
        <v>0</v>
      </c>
      <c r="G25" s="36">
        <v>165.70313</v>
      </c>
      <c r="H25" s="36" t="s">
        <v>411</v>
      </c>
      <c r="I25" s="36">
        <f t="shared" si="1"/>
        <v>0</v>
      </c>
    </row>
    <row r="26" spans="1:9" ht="12.75">
      <c r="A26" s="17"/>
      <c r="B26" s="17" t="s">
        <v>65</v>
      </c>
      <c r="C26" s="17" t="s">
        <v>249</v>
      </c>
      <c r="F26" s="36">
        <f t="shared" si="0"/>
        <v>0</v>
      </c>
      <c r="G26" s="36">
        <v>0.81911</v>
      </c>
      <c r="H26" s="36" t="s">
        <v>411</v>
      </c>
      <c r="I26" s="36">
        <f t="shared" si="1"/>
        <v>0</v>
      </c>
    </row>
    <row r="27" spans="1:9" ht="12.75">
      <c r="A27" s="17"/>
      <c r="B27" s="17" t="s">
        <v>68</v>
      </c>
      <c r="C27" s="17" t="s">
        <v>255</v>
      </c>
      <c r="F27" s="36">
        <f t="shared" si="0"/>
        <v>0</v>
      </c>
      <c r="G27" s="36">
        <v>1.26641</v>
      </c>
      <c r="H27" s="36" t="s">
        <v>411</v>
      </c>
      <c r="I27" s="36">
        <f t="shared" si="1"/>
        <v>0</v>
      </c>
    </row>
    <row r="28" spans="1:9" ht="12.75">
      <c r="A28" s="17"/>
      <c r="B28" s="17" t="s">
        <v>124</v>
      </c>
      <c r="C28" s="17" t="s">
        <v>258</v>
      </c>
      <c r="F28" s="36">
        <f t="shared" si="0"/>
        <v>0</v>
      </c>
      <c r="G28" s="36">
        <v>0.03384</v>
      </c>
      <c r="H28" s="36" t="s">
        <v>411</v>
      </c>
      <c r="I28" s="36">
        <f t="shared" si="1"/>
        <v>0</v>
      </c>
    </row>
    <row r="29" spans="1:9" ht="12.75">
      <c r="A29" s="17"/>
      <c r="B29" s="17" t="s">
        <v>131</v>
      </c>
      <c r="C29" s="17" t="s">
        <v>266</v>
      </c>
      <c r="F29" s="36">
        <f t="shared" si="0"/>
        <v>0</v>
      </c>
      <c r="G29" s="36">
        <v>0.02554</v>
      </c>
      <c r="H29" s="36" t="s">
        <v>411</v>
      </c>
      <c r="I29" s="36">
        <f t="shared" si="1"/>
        <v>0</v>
      </c>
    </row>
    <row r="30" spans="1:9" ht="12.75">
      <c r="A30" s="17"/>
      <c r="B30" s="17" t="s">
        <v>146</v>
      </c>
      <c r="C30" s="17" t="s">
        <v>284</v>
      </c>
      <c r="F30" s="36">
        <f t="shared" si="0"/>
        <v>0</v>
      </c>
      <c r="G30" s="36">
        <v>20.59846</v>
      </c>
      <c r="H30" s="36" t="s">
        <v>411</v>
      </c>
      <c r="I30" s="36">
        <f t="shared" si="1"/>
        <v>0</v>
      </c>
    </row>
    <row r="31" spans="1:9" ht="12.75">
      <c r="A31" s="17"/>
      <c r="B31" s="17" t="s">
        <v>149</v>
      </c>
      <c r="C31" s="17" t="s">
        <v>288</v>
      </c>
      <c r="F31" s="36">
        <f t="shared" si="0"/>
        <v>0</v>
      </c>
      <c r="G31" s="36">
        <v>160.20126</v>
      </c>
      <c r="H31" s="36" t="s">
        <v>411</v>
      </c>
      <c r="I31" s="36">
        <f t="shared" si="1"/>
        <v>0</v>
      </c>
    </row>
    <row r="32" spans="1:9" ht="12.75">
      <c r="A32" s="17"/>
      <c r="B32" s="17" t="s">
        <v>170</v>
      </c>
      <c r="C32" s="17" t="s">
        <v>320</v>
      </c>
      <c r="F32" s="36">
        <f t="shared" si="0"/>
        <v>0</v>
      </c>
      <c r="G32" s="36">
        <v>0</v>
      </c>
      <c r="H32" s="36" t="s">
        <v>411</v>
      </c>
      <c r="I32" s="36">
        <f t="shared" si="1"/>
        <v>0</v>
      </c>
    </row>
    <row r="33" spans="1:9" ht="12.75">
      <c r="A33" s="17"/>
      <c r="B33" s="17" t="s">
        <v>172</v>
      </c>
      <c r="C33" s="17" t="s">
        <v>323</v>
      </c>
      <c r="F33" s="36">
        <f t="shared" si="0"/>
        <v>0</v>
      </c>
      <c r="G33" s="36">
        <v>0</v>
      </c>
      <c r="H33" s="36" t="s">
        <v>411</v>
      </c>
      <c r="I33" s="36">
        <f t="shared" si="1"/>
        <v>0</v>
      </c>
    </row>
    <row r="34" spans="1:9" ht="12.75">
      <c r="A34" s="17"/>
      <c r="B34" s="17" t="s">
        <v>175</v>
      </c>
      <c r="C34" s="17" t="s">
        <v>327</v>
      </c>
      <c r="F34" s="36">
        <f t="shared" si="0"/>
        <v>0</v>
      </c>
      <c r="G34" s="36">
        <v>1.19241</v>
      </c>
      <c r="H34" s="36" t="s">
        <v>411</v>
      </c>
      <c r="I34" s="36">
        <f t="shared" si="1"/>
        <v>0</v>
      </c>
    </row>
    <row r="36" spans="5:6" ht="12.75">
      <c r="E36" s="48" t="s">
        <v>347</v>
      </c>
      <c r="F36" s="41">
        <f>SUM(I11:I34)</f>
        <v>0</v>
      </c>
    </row>
  </sheetData>
  <sheetProtection/>
  <mergeCells count="17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8:A9"/>
    <mergeCell ref="B8:C9"/>
    <mergeCell ref="D8:D9"/>
    <mergeCell ref="E8:G9"/>
    <mergeCell ref="A6:A7"/>
    <mergeCell ref="B6:C7"/>
    <mergeCell ref="D6:D7"/>
    <mergeCell ref="E6:G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6"/>
  <sheetViews>
    <sheetView tabSelected="1" zoomScalePageLayoutView="0" workbookViewId="0" topLeftCell="A1">
      <selection activeCell="D6" sqref="D6:D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6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ht="12.75">
      <c r="A2" s="99" t="s">
        <v>1</v>
      </c>
      <c r="B2" s="100"/>
      <c r="C2" s="100"/>
      <c r="D2" s="121" t="s">
        <v>457</v>
      </c>
      <c r="E2" s="120" t="s">
        <v>330</v>
      </c>
      <c r="F2" s="100"/>
      <c r="G2" s="120"/>
      <c r="H2" s="100"/>
      <c r="I2" s="103" t="s">
        <v>348</v>
      </c>
      <c r="J2" s="103"/>
      <c r="K2" s="100"/>
      <c r="L2" s="100"/>
      <c r="M2" s="111"/>
      <c r="N2" s="34"/>
    </row>
    <row r="3" spans="1:14" ht="12.75">
      <c r="A3" s="96"/>
      <c r="B3" s="68"/>
      <c r="C3" s="68"/>
      <c r="D3" s="102"/>
      <c r="E3" s="68"/>
      <c r="F3" s="68"/>
      <c r="G3" s="68"/>
      <c r="H3" s="68"/>
      <c r="I3" s="68"/>
      <c r="J3" s="68"/>
      <c r="K3" s="68"/>
      <c r="L3" s="68"/>
      <c r="M3" s="90"/>
      <c r="N3" s="34"/>
    </row>
    <row r="4" spans="1:14" ht="12.75">
      <c r="A4" s="91" t="s">
        <v>2</v>
      </c>
      <c r="B4" s="68"/>
      <c r="C4" s="68"/>
      <c r="D4" s="67" t="s">
        <v>178</v>
      </c>
      <c r="E4" s="88" t="s">
        <v>331</v>
      </c>
      <c r="F4" s="68"/>
      <c r="G4" s="88" t="s">
        <v>6</v>
      </c>
      <c r="H4" s="68"/>
      <c r="I4" s="67" t="s">
        <v>349</v>
      </c>
      <c r="J4" s="67" t="s">
        <v>353</v>
      </c>
      <c r="K4" s="68"/>
      <c r="L4" s="68"/>
      <c r="M4" s="90"/>
      <c r="N4" s="34"/>
    </row>
    <row r="5" spans="1:14" ht="12.75">
      <c r="A5" s="96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90"/>
      <c r="N5" s="34"/>
    </row>
    <row r="6" spans="1:14" ht="12.75">
      <c r="A6" s="91" t="s">
        <v>3</v>
      </c>
      <c r="B6" s="68"/>
      <c r="C6" s="68"/>
      <c r="D6" s="67" t="s">
        <v>179</v>
      </c>
      <c r="E6" s="88" t="s">
        <v>332</v>
      </c>
      <c r="F6" s="68"/>
      <c r="G6" s="68"/>
      <c r="H6" s="68"/>
      <c r="I6" s="67" t="s">
        <v>350</v>
      </c>
      <c r="J6" s="67"/>
      <c r="K6" s="68"/>
      <c r="L6" s="68"/>
      <c r="M6" s="90"/>
      <c r="N6" s="34"/>
    </row>
    <row r="7" spans="1:14" ht="12.75">
      <c r="A7" s="96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90"/>
      <c r="N7" s="34"/>
    </row>
    <row r="8" spans="1:14" ht="12.75">
      <c r="A8" s="91" t="s">
        <v>4</v>
      </c>
      <c r="B8" s="68"/>
      <c r="C8" s="68"/>
      <c r="D8" s="67"/>
      <c r="E8" s="88" t="s">
        <v>333</v>
      </c>
      <c r="F8" s="68"/>
      <c r="G8" s="107">
        <v>42572</v>
      </c>
      <c r="H8" s="68"/>
      <c r="I8" s="67" t="s">
        <v>351</v>
      </c>
      <c r="J8" s="67"/>
      <c r="K8" s="68"/>
      <c r="L8" s="68"/>
      <c r="M8" s="90"/>
      <c r="N8" s="34"/>
    </row>
    <row r="9" spans="1:14" ht="12.7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8"/>
      <c r="N9" s="34"/>
    </row>
    <row r="10" spans="1:14" ht="12.75">
      <c r="A10" s="1" t="s">
        <v>5</v>
      </c>
      <c r="B10" s="10" t="s">
        <v>89</v>
      </c>
      <c r="C10" s="10" t="s">
        <v>90</v>
      </c>
      <c r="D10" s="10" t="s">
        <v>180</v>
      </c>
      <c r="E10" s="10" t="s">
        <v>334</v>
      </c>
      <c r="F10" s="18" t="s">
        <v>342</v>
      </c>
      <c r="G10" s="23" t="s">
        <v>343</v>
      </c>
      <c r="H10" s="117" t="s">
        <v>345</v>
      </c>
      <c r="I10" s="118"/>
      <c r="J10" s="119"/>
      <c r="K10" s="117" t="s">
        <v>355</v>
      </c>
      <c r="L10" s="119"/>
      <c r="M10" s="30" t="s">
        <v>356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4" t="s">
        <v>181</v>
      </c>
      <c r="E11" s="11" t="s">
        <v>6</v>
      </c>
      <c r="F11" s="11" t="s">
        <v>6</v>
      </c>
      <c r="G11" s="24" t="s">
        <v>344</v>
      </c>
      <c r="H11" s="25" t="s">
        <v>346</v>
      </c>
      <c r="I11" s="26" t="s">
        <v>352</v>
      </c>
      <c r="J11" s="27" t="s">
        <v>354</v>
      </c>
      <c r="K11" s="25" t="s">
        <v>343</v>
      </c>
      <c r="L11" s="27" t="s">
        <v>354</v>
      </c>
      <c r="M11" s="31" t="s">
        <v>357</v>
      </c>
      <c r="N11" s="35"/>
      <c r="P11" s="29" t="s">
        <v>360</v>
      </c>
      <c r="Q11" s="29" t="s">
        <v>361</v>
      </c>
      <c r="R11" s="29" t="s">
        <v>365</v>
      </c>
      <c r="S11" s="29" t="s">
        <v>366</v>
      </c>
      <c r="T11" s="29" t="s">
        <v>367</v>
      </c>
      <c r="U11" s="29" t="s">
        <v>368</v>
      </c>
      <c r="V11" s="29" t="s">
        <v>369</v>
      </c>
      <c r="W11" s="29" t="s">
        <v>370</v>
      </c>
      <c r="X11" s="29" t="s">
        <v>371</v>
      </c>
    </row>
    <row r="12" spans="1:37" ht="12.75">
      <c r="A12" s="3"/>
      <c r="B12" s="12"/>
      <c r="C12" s="12" t="s">
        <v>18</v>
      </c>
      <c r="D12" s="115" t="s">
        <v>182</v>
      </c>
      <c r="E12" s="116"/>
      <c r="F12" s="116"/>
      <c r="G12" s="116"/>
      <c r="H12" s="38">
        <f>SUM(H13:H17)</f>
        <v>0</v>
      </c>
      <c r="I12" s="38">
        <f>SUM(I13:I17)</f>
        <v>0</v>
      </c>
      <c r="J12" s="38">
        <f>H12+I12</f>
        <v>0</v>
      </c>
      <c r="K12" s="28"/>
      <c r="L12" s="38">
        <f>SUM(L13:L17)</f>
        <v>0</v>
      </c>
      <c r="M12" s="28"/>
      <c r="P12" s="39">
        <f>IF(Q12="PR",J12,SUM(O13:O17))</f>
        <v>0</v>
      </c>
      <c r="Q12" s="29" t="s">
        <v>362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9"/>
      <c r="AI12" s="39">
        <f>SUM(Z13:Z17)</f>
        <v>0</v>
      </c>
      <c r="AJ12" s="39">
        <f>SUM(AA13:AA17)</f>
        <v>0</v>
      </c>
      <c r="AK12" s="39">
        <f>SUM(AB13:AB17)</f>
        <v>0</v>
      </c>
    </row>
    <row r="13" spans="1:43" ht="12.75">
      <c r="A13" s="4" t="s">
        <v>7</v>
      </c>
      <c r="B13" s="4"/>
      <c r="C13" s="4" t="s">
        <v>91</v>
      </c>
      <c r="D13" s="4" t="s">
        <v>183</v>
      </c>
      <c r="E13" s="4" t="s">
        <v>335</v>
      </c>
      <c r="F13" s="19">
        <v>1.25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2" t="s">
        <v>358</v>
      </c>
      <c r="N13" s="32" t="s">
        <v>7</v>
      </c>
      <c r="O13" s="19">
        <f>IF(N13="5",I13,0)</f>
        <v>0</v>
      </c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372</v>
      </c>
      <c r="AP13" s="37" t="s">
        <v>396</v>
      </c>
      <c r="AQ13" s="29" t="s">
        <v>405</v>
      </c>
    </row>
    <row r="14" spans="4:6" ht="12.75">
      <c r="D14" s="15" t="s">
        <v>184</v>
      </c>
      <c r="F14" s="20">
        <v>1.25</v>
      </c>
    </row>
    <row r="15" spans="1:43" ht="12.75">
      <c r="A15" s="4" t="s">
        <v>8</v>
      </c>
      <c r="B15" s="4"/>
      <c r="C15" s="4"/>
      <c r="D15" s="4"/>
      <c r="E15" s="4"/>
      <c r="F15" s="19">
        <v>0</v>
      </c>
      <c r="G15" s="19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0</v>
      </c>
      <c r="L15" s="19">
        <f>F15*K15</f>
        <v>0</v>
      </c>
      <c r="M15" s="32"/>
      <c r="N15" s="32" t="s">
        <v>7</v>
      </c>
      <c r="O15" s="19">
        <f>IF(N15="5",I15,0)</f>
        <v>0</v>
      </c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372</v>
      </c>
      <c r="AP15" s="37" t="s">
        <v>396</v>
      </c>
      <c r="AQ15" s="29" t="s">
        <v>405</v>
      </c>
    </row>
    <row r="16" spans="4:6" ht="12.75">
      <c r="D16" s="15" t="s">
        <v>185</v>
      </c>
      <c r="F16" s="20">
        <v>36</v>
      </c>
    </row>
    <row r="17" spans="1:43" ht="12.75">
      <c r="A17" s="4" t="s">
        <v>9</v>
      </c>
      <c r="B17" s="4"/>
      <c r="C17" s="4" t="s">
        <v>92</v>
      </c>
      <c r="D17" s="4" t="s">
        <v>186</v>
      </c>
      <c r="E17" s="4" t="s">
        <v>335</v>
      </c>
      <c r="F17" s="19">
        <v>116.375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</v>
      </c>
      <c r="L17" s="19">
        <f>F17*K17</f>
        <v>0</v>
      </c>
      <c r="M17" s="32" t="s">
        <v>358</v>
      </c>
      <c r="N17" s="32" t="s">
        <v>7</v>
      </c>
      <c r="O17" s="19">
        <f>IF(N17="5",I17,0)</f>
        <v>0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M17" s="36">
        <f>F17*AE17</f>
        <v>0</v>
      </c>
      <c r="AN17" s="36">
        <f>F17*AF17</f>
        <v>0</v>
      </c>
      <c r="AO17" s="37" t="s">
        <v>372</v>
      </c>
      <c r="AP17" s="37" t="s">
        <v>396</v>
      </c>
      <c r="AQ17" s="29" t="s">
        <v>405</v>
      </c>
    </row>
    <row r="18" spans="4:6" ht="12.75">
      <c r="D18" s="15" t="s">
        <v>187</v>
      </c>
      <c r="F18" s="20">
        <v>5</v>
      </c>
    </row>
    <row r="19" spans="4:6" ht="12.75">
      <c r="D19" s="15" t="s">
        <v>188</v>
      </c>
      <c r="F19" s="20">
        <v>49</v>
      </c>
    </row>
    <row r="20" spans="4:6" ht="12.75">
      <c r="D20" s="15" t="s">
        <v>189</v>
      </c>
      <c r="F20" s="20">
        <v>14.7</v>
      </c>
    </row>
    <row r="21" spans="4:6" ht="12.75">
      <c r="D21" s="15" t="s">
        <v>190</v>
      </c>
      <c r="F21" s="20">
        <v>17.675</v>
      </c>
    </row>
    <row r="22" spans="4:6" ht="12.75">
      <c r="D22" s="15" t="s">
        <v>191</v>
      </c>
      <c r="F22" s="20">
        <v>30</v>
      </c>
    </row>
    <row r="23" spans="1:37" ht="12.75">
      <c r="A23" s="5"/>
      <c r="B23" s="13"/>
      <c r="C23" s="13" t="s">
        <v>19</v>
      </c>
      <c r="D23" s="113" t="s">
        <v>192</v>
      </c>
      <c r="E23" s="114"/>
      <c r="F23" s="114"/>
      <c r="G23" s="114"/>
      <c r="H23" s="39">
        <f>SUM(H24:H24)</f>
        <v>0</v>
      </c>
      <c r="I23" s="39">
        <f>SUM(I24:I24)</f>
        <v>0</v>
      </c>
      <c r="J23" s="39">
        <f>H23+I23</f>
        <v>0</v>
      </c>
      <c r="K23" s="29"/>
      <c r="L23" s="39">
        <f>SUM(L24:L24)</f>
        <v>0</v>
      </c>
      <c r="M23" s="29"/>
      <c r="P23" s="39">
        <f>IF(Q23="PR",J23,SUM(O24:O24))</f>
        <v>0</v>
      </c>
      <c r="Q23" s="29" t="s">
        <v>362</v>
      </c>
      <c r="R23" s="39">
        <f>IF(Q23="HS",H23,0)</f>
        <v>0</v>
      </c>
      <c r="S23" s="39">
        <f>IF(Q23="HS",I23-P23,0)</f>
        <v>0</v>
      </c>
      <c r="T23" s="39">
        <f>IF(Q23="PS",H23,0)</f>
        <v>0</v>
      </c>
      <c r="U23" s="39">
        <f>IF(Q23="PS",I23-P23,0)</f>
        <v>0</v>
      </c>
      <c r="V23" s="39">
        <f>IF(Q23="MP",H23,0)</f>
        <v>0</v>
      </c>
      <c r="W23" s="39">
        <f>IF(Q23="MP",I23-P23,0)</f>
        <v>0</v>
      </c>
      <c r="X23" s="39">
        <f>IF(Q23="OM",H23,0)</f>
        <v>0</v>
      </c>
      <c r="Y23" s="29"/>
      <c r="AI23" s="39">
        <f>SUM(Z24:Z24)</f>
        <v>0</v>
      </c>
      <c r="AJ23" s="39">
        <f>SUM(AA24:AA24)</f>
        <v>0</v>
      </c>
      <c r="AK23" s="39">
        <f>SUM(AB24:AB24)</f>
        <v>0</v>
      </c>
    </row>
    <row r="24" spans="1:43" ht="12.75">
      <c r="A24" s="4" t="s">
        <v>10</v>
      </c>
      <c r="B24" s="4"/>
      <c r="C24" s="4" t="s">
        <v>93</v>
      </c>
      <c r="D24" s="4" t="s">
        <v>193</v>
      </c>
      <c r="E24" s="4" t="s">
        <v>335</v>
      </c>
      <c r="F24" s="19">
        <v>10.5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</v>
      </c>
      <c r="L24" s="19">
        <f>F24*K24</f>
        <v>0</v>
      </c>
      <c r="M24" s="32" t="s">
        <v>358</v>
      </c>
      <c r="N24" s="32" t="s">
        <v>7</v>
      </c>
      <c r="O24" s="19">
        <f>IF(N24="5",I24,0)</f>
        <v>0</v>
      </c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6">
        <v>21</v>
      </c>
      <c r="AE24" s="36">
        <f>G24*0</f>
        <v>0</v>
      </c>
      <c r="AF24" s="36">
        <f>G24*(1-0)</f>
        <v>0</v>
      </c>
      <c r="AM24" s="36">
        <f>F24*AE24</f>
        <v>0</v>
      </c>
      <c r="AN24" s="36">
        <f>F24*AF24</f>
        <v>0</v>
      </c>
      <c r="AO24" s="37" t="s">
        <v>373</v>
      </c>
      <c r="AP24" s="37" t="s">
        <v>396</v>
      </c>
      <c r="AQ24" s="29" t="s">
        <v>405</v>
      </c>
    </row>
    <row r="25" spans="4:6" ht="12.75">
      <c r="D25" s="15" t="s">
        <v>194</v>
      </c>
      <c r="F25" s="20">
        <v>10.5</v>
      </c>
    </row>
    <row r="26" spans="1:37" ht="12.75">
      <c r="A26" s="5"/>
      <c r="B26" s="13"/>
      <c r="C26" s="13" t="s">
        <v>22</v>
      </c>
      <c r="D26" s="113" t="s">
        <v>195</v>
      </c>
      <c r="E26" s="114"/>
      <c r="F26" s="114"/>
      <c r="G26" s="114"/>
      <c r="H26" s="39">
        <f>SUM(H27:H29)</f>
        <v>0</v>
      </c>
      <c r="I26" s="39">
        <f>SUM(I27:I29)</f>
        <v>0</v>
      </c>
      <c r="J26" s="39">
        <f>H26+I26</f>
        <v>0</v>
      </c>
      <c r="K26" s="29"/>
      <c r="L26" s="39">
        <f>SUM(L27:L29)</f>
        <v>0</v>
      </c>
      <c r="M26" s="29"/>
      <c r="P26" s="39">
        <f>IF(Q26="PR",J26,SUM(O27:O29))</f>
        <v>0</v>
      </c>
      <c r="Q26" s="29" t="s">
        <v>362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29"/>
      <c r="AI26" s="39">
        <f>SUM(Z27:Z29)</f>
        <v>0</v>
      </c>
      <c r="AJ26" s="39">
        <f>SUM(AA27:AA29)</f>
        <v>0</v>
      </c>
      <c r="AK26" s="39">
        <f>SUM(AB27:AB29)</f>
        <v>0</v>
      </c>
    </row>
    <row r="27" spans="1:43" ht="12.75">
      <c r="A27" s="4" t="s">
        <v>11</v>
      </c>
      <c r="B27" s="4"/>
      <c r="C27" s="4" t="s">
        <v>94</v>
      </c>
      <c r="D27" s="4" t="s">
        <v>196</v>
      </c>
      <c r="E27" s="4" t="s">
        <v>335</v>
      </c>
      <c r="F27" s="19">
        <v>109.2</v>
      </c>
      <c r="G27" s="19">
        <v>0</v>
      </c>
      <c r="H27" s="19">
        <f>F27*AE27</f>
        <v>0</v>
      </c>
      <c r="I27" s="19">
        <f>J27-H27</f>
        <v>0</v>
      </c>
      <c r="J27" s="19">
        <f>F27*G27</f>
        <v>0</v>
      </c>
      <c r="K27" s="19">
        <v>0</v>
      </c>
      <c r="L27" s="19">
        <f>F27*K27</f>
        <v>0</v>
      </c>
      <c r="M27" s="32" t="s">
        <v>358</v>
      </c>
      <c r="N27" s="32" t="s">
        <v>7</v>
      </c>
      <c r="O27" s="19">
        <f>IF(N27="5",I27,0)</f>
        <v>0</v>
      </c>
      <c r="Z27" s="19">
        <f>IF(AD27=0,J27,0)</f>
        <v>0</v>
      </c>
      <c r="AA27" s="19">
        <f>IF(AD27=15,J27,0)</f>
        <v>0</v>
      </c>
      <c r="AB27" s="19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374</v>
      </c>
      <c r="AP27" s="37" t="s">
        <v>396</v>
      </c>
      <c r="AQ27" s="29" t="s">
        <v>405</v>
      </c>
    </row>
    <row r="28" spans="4:6" ht="12.75">
      <c r="D28" s="15" t="s">
        <v>197</v>
      </c>
      <c r="F28" s="20">
        <v>109.2</v>
      </c>
    </row>
    <row r="29" spans="1:43" ht="12.75">
      <c r="A29" s="4" t="s">
        <v>12</v>
      </c>
      <c r="B29" s="4"/>
      <c r="C29" s="4" t="s">
        <v>95</v>
      </c>
      <c r="D29" s="4" t="s">
        <v>198</v>
      </c>
      <c r="E29" s="4" t="s">
        <v>335</v>
      </c>
      <c r="F29" s="19">
        <v>2074.8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</v>
      </c>
      <c r="L29" s="19">
        <f>F29*K29</f>
        <v>0</v>
      </c>
      <c r="M29" s="32" t="s">
        <v>358</v>
      </c>
      <c r="N29" s="32" t="s">
        <v>7</v>
      </c>
      <c r="O29" s="19">
        <f>IF(N29="5",I29,0)</f>
        <v>0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6">
        <v>21</v>
      </c>
      <c r="AE29" s="36">
        <f>G29*0</f>
        <v>0</v>
      </c>
      <c r="AF29" s="36">
        <f>G29*(1-0)</f>
        <v>0</v>
      </c>
      <c r="AM29" s="36">
        <f>F29*AE29</f>
        <v>0</v>
      </c>
      <c r="AN29" s="36">
        <f>F29*AF29</f>
        <v>0</v>
      </c>
      <c r="AO29" s="37" t="s">
        <v>374</v>
      </c>
      <c r="AP29" s="37" t="s">
        <v>396</v>
      </c>
      <c r="AQ29" s="29" t="s">
        <v>405</v>
      </c>
    </row>
    <row r="30" spans="4:6" ht="12.75">
      <c r="D30" s="15" t="s">
        <v>199</v>
      </c>
      <c r="F30" s="20">
        <v>2074.8</v>
      </c>
    </row>
    <row r="31" spans="1:37" ht="12.75">
      <c r="A31" s="5"/>
      <c r="B31" s="13"/>
      <c r="C31" s="13" t="s">
        <v>23</v>
      </c>
      <c r="D31" s="113" t="s">
        <v>200</v>
      </c>
      <c r="E31" s="114"/>
      <c r="F31" s="114"/>
      <c r="G31" s="114"/>
      <c r="H31" s="39">
        <f>SUM(H32:H34)</f>
        <v>0</v>
      </c>
      <c r="I31" s="39">
        <f>SUM(I32:I34)</f>
        <v>0</v>
      </c>
      <c r="J31" s="39">
        <f>H31+I31</f>
        <v>0</v>
      </c>
      <c r="K31" s="29"/>
      <c r="L31" s="39">
        <f>SUM(L32:L34)</f>
        <v>0</v>
      </c>
      <c r="M31" s="29"/>
      <c r="P31" s="39">
        <f>IF(Q31="PR",J31,SUM(O32:O34))</f>
        <v>0</v>
      </c>
      <c r="Q31" s="29" t="s">
        <v>362</v>
      </c>
      <c r="R31" s="39">
        <f>IF(Q31="HS",H31,0)</f>
        <v>0</v>
      </c>
      <c r="S31" s="39">
        <f>IF(Q31="HS",I31-P31,0)</f>
        <v>0</v>
      </c>
      <c r="T31" s="39">
        <f>IF(Q31="PS",H31,0)</f>
        <v>0</v>
      </c>
      <c r="U31" s="39">
        <f>IF(Q31="PS",I31-P31,0)</f>
        <v>0</v>
      </c>
      <c r="V31" s="39">
        <f>IF(Q31="MP",H31,0)</f>
        <v>0</v>
      </c>
      <c r="W31" s="39">
        <f>IF(Q31="MP",I31-P31,0)</f>
        <v>0</v>
      </c>
      <c r="X31" s="39">
        <f>IF(Q31="OM",H31,0)</f>
        <v>0</v>
      </c>
      <c r="Y31" s="29"/>
      <c r="AI31" s="39">
        <f>SUM(Z32:Z34)</f>
        <v>0</v>
      </c>
      <c r="AJ31" s="39">
        <f>SUM(AA32:AA34)</f>
        <v>0</v>
      </c>
      <c r="AK31" s="39">
        <f>SUM(AB32:AB34)</f>
        <v>0</v>
      </c>
    </row>
    <row r="32" spans="1:43" ht="12.75">
      <c r="A32" s="4" t="s">
        <v>13</v>
      </c>
      <c r="B32" s="4"/>
      <c r="C32" s="4" t="s">
        <v>96</v>
      </c>
      <c r="D32" s="4" t="s">
        <v>201</v>
      </c>
      <c r="E32" s="4" t="s">
        <v>335</v>
      </c>
      <c r="F32" s="19">
        <v>17.675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</v>
      </c>
      <c r="L32" s="19">
        <f>F32*K32</f>
        <v>0</v>
      </c>
      <c r="M32" s="32" t="s">
        <v>358</v>
      </c>
      <c r="N32" s="32" t="s">
        <v>7</v>
      </c>
      <c r="O32" s="19">
        <f>IF(N32="5",I32,0)</f>
        <v>0</v>
      </c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6">
        <v>21</v>
      </c>
      <c r="AE32" s="36">
        <f>G32*0</f>
        <v>0</v>
      </c>
      <c r="AF32" s="36">
        <f>G32*(1-0)</f>
        <v>0</v>
      </c>
      <c r="AM32" s="36">
        <f>F32*AE32</f>
        <v>0</v>
      </c>
      <c r="AN32" s="36">
        <f>F32*AF32</f>
        <v>0</v>
      </c>
      <c r="AO32" s="37" t="s">
        <v>375</v>
      </c>
      <c r="AP32" s="37" t="s">
        <v>396</v>
      </c>
      <c r="AQ32" s="29" t="s">
        <v>405</v>
      </c>
    </row>
    <row r="33" spans="4:6" ht="12.75">
      <c r="D33" s="15" t="s">
        <v>202</v>
      </c>
      <c r="F33" s="20">
        <v>17.675</v>
      </c>
    </row>
    <row r="34" spans="1:43" ht="12.75">
      <c r="A34" s="4" t="s">
        <v>14</v>
      </c>
      <c r="B34" s="4"/>
      <c r="C34" s="4" t="s">
        <v>97</v>
      </c>
      <c r="D34" s="4" t="s">
        <v>203</v>
      </c>
      <c r="E34" s="4" t="s">
        <v>335</v>
      </c>
      <c r="F34" s="19">
        <v>109.2</v>
      </c>
      <c r="G34" s="19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</v>
      </c>
      <c r="L34" s="19">
        <f>F34*K34</f>
        <v>0</v>
      </c>
      <c r="M34" s="32" t="s">
        <v>358</v>
      </c>
      <c r="N34" s="32" t="s">
        <v>7</v>
      </c>
      <c r="O34" s="19">
        <f>IF(N34="5",I34,0)</f>
        <v>0</v>
      </c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36">
        <v>21</v>
      </c>
      <c r="AE34" s="36">
        <f>G34*0</f>
        <v>0</v>
      </c>
      <c r="AF34" s="36">
        <f>G34*(1-0)</f>
        <v>0</v>
      </c>
      <c r="AM34" s="36">
        <f>F34*AE34</f>
        <v>0</v>
      </c>
      <c r="AN34" s="36">
        <f>F34*AF34</f>
        <v>0</v>
      </c>
      <c r="AO34" s="37" t="s">
        <v>375</v>
      </c>
      <c r="AP34" s="37" t="s">
        <v>396</v>
      </c>
      <c r="AQ34" s="29" t="s">
        <v>405</v>
      </c>
    </row>
    <row r="35" spans="1:37" ht="12.75">
      <c r="A35" s="5"/>
      <c r="B35" s="13"/>
      <c r="C35" s="13" t="s">
        <v>24</v>
      </c>
      <c r="D35" s="113" t="s">
        <v>204</v>
      </c>
      <c r="E35" s="114"/>
      <c r="F35" s="114"/>
      <c r="G35" s="114"/>
      <c r="H35" s="39">
        <f>SUM(H36:H42)</f>
        <v>0</v>
      </c>
      <c r="I35" s="39">
        <f>SUM(I36:I42)</f>
        <v>0</v>
      </c>
      <c r="J35" s="39">
        <f>H35+I35</f>
        <v>0</v>
      </c>
      <c r="K35" s="29"/>
      <c r="L35" s="39">
        <f>SUM(L36:L42)</f>
        <v>0.000625</v>
      </c>
      <c r="M35" s="29"/>
      <c r="P35" s="39">
        <f>IF(Q35="PR",J35,SUM(O36:O42))</f>
        <v>0</v>
      </c>
      <c r="Q35" s="29" t="s">
        <v>362</v>
      </c>
      <c r="R35" s="39">
        <f>IF(Q35="HS",H35,0)</f>
        <v>0</v>
      </c>
      <c r="S35" s="39">
        <f>IF(Q35="HS",I35-P35,0)</f>
        <v>0</v>
      </c>
      <c r="T35" s="39">
        <f>IF(Q35="PS",H35,0)</f>
        <v>0</v>
      </c>
      <c r="U35" s="39">
        <f>IF(Q35="PS",I35-P35,0)</f>
        <v>0</v>
      </c>
      <c r="V35" s="39">
        <f>IF(Q35="MP",H35,0)</f>
        <v>0</v>
      </c>
      <c r="W35" s="39">
        <f>IF(Q35="MP",I35-P35,0)</f>
        <v>0</v>
      </c>
      <c r="X35" s="39">
        <f>IF(Q35="OM",H35,0)</f>
        <v>0</v>
      </c>
      <c r="Y35" s="29"/>
      <c r="AI35" s="39">
        <f>SUM(Z36:Z42)</f>
        <v>0</v>
      </c>
      <c r="AJ35" s="39">
        <f>SUM(AA36:AA42)</f>
        <v>0</v>
      </c>
      <c r="AK35" s="39">
        <f>SUM(AB36:AB42)</f>
        <v>0</v>
      </c>
    </row>
    <row r="36" spans="1:43" ht="12.75">
      <c r="A36" s="4" t="s">
        <v>15</v>
      </c>
      <c r="B36" s="4"/>
      <c r="C36" s="4" t="s">
        <v>98</v>
      </c>
      <c r="D36" s="4" t="s">
        <v>205</v>
      </c>
      <c r="E36" s="4" t="s">
        <v>336</v>
      </c>
      <c r="F36" s="19">
        <v>12.5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</v>
      </c>
      <c r="L36" s="19">
        <f>F36*K36</f>
        <v>0</v>
      </c>
      <c r="M36" s="32" t="s">
        <v>358</v>
      </c>
      <c r="N36" s="32" t="s">
        <v>7</v>
      </c>
      <c r="O36" s="19">
        <f>IF(N36="5",I36,0)</f>
        <v>0</v>
      </c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6">
        <v>21</v>
      </c>
      <c r="AE36" s="36">
        <f>G36*0.0967536600891152</f>
        <v>0</v>
      </c>
      <c r="AF36" s="36">
        <f>G36*(1-0.0967536600891152)</f>
        <v>0</v>
      </c>
      <c r="AM36" s="36">
        <f>F36*AE36</f>
        <v>0</v>
      </c>
      <c r="AN36" s="36">
        <f>F36*AF36</f>
        <v>0</v>
      </c>
      <c r="AO36" s="37" t="s">
        <v>376</v>
      </c>
      <c r="AP36" s="37" t="s">
        <v>396</v>
      </c>
      <c r="AQ36" s="29" t="s">
        <v>405</v>
      </c>
    </row>
    <row r="37" spans="4:6" ht="12.75">
      <c r="D37" s="15" t="s">
        <v>206</v>
      </c>
      <c r="F37" s="20">
        <v>12.5</v>
      </c>
    </row>
    <row r="38" spans="1:43" ht="12.75">
      <c r="A38" s="6" t="s">
        <v>16</v>
      </c>
      <c r="B38" s="6"/>
      <c r="C38" s="6" t="s">
        <v>99</v>
      </c>
      <c r="D38" s="6" t="s">
        <v>207</v>
      </c>
      <c r="E38" s="6" t="s">
        <v>337</v>
      </c>
      <c r="F38" s="21">
        <v>0.625</v>
      </c>
      <c r="G38" s="21">
        <v>0</v>
      </c>
      <c r="H38" s="21">
        <f>F38*AE38</f>
        <v>0</v>
      </c>
      <c r="I38" s="21">
        <f>J38-H38</f>
        <v>0</v>
      </c>
      <c r="J38" s="21">
        <f>F38*G38</f>
        <v>0</v>
      </c>
      <c r="K38" s="21">
        <v>0.001</v>
      </c>
      <c r="L38" s="21">
        <f>F38*K38</f>
        <v>0.000625</v>
      </c>
      <c r="M38" s="33" t="s">
        <v>358</v>
      </c>
      <c r="N38" s="33" t="s">
        <v>359</v>
      </c>
      <c r="O38" s="21">
        <f>IF(N38="5",I38,0)</f>
        <v>0</v>
      </c>
      <c r="Z38" s="21">
        <f>IF(AD38=0,J38,0)</f>
        <v>0</v>
      </c>
      <c r="AA38" s="21">
        <f>IF(AD38=15,J38,0)</f>
        <v>0</v>
      </c>
      <c r="AB38" s="21">
        <f>IF(AD38=21,J38,0)</f>
        <v>0</v>
      </c>
      <c r="AD38" s="36">
        <v>21</v>
      </c>
      <c r="AE38" s="36">
        <f>G38*1</f>
        <v>0</v>
      </c>
      <c r="AF38" s="36">
        <f>G38*(1-1)</f>
        <v>0</v>
      </c>
      <c r="AM38" s="36">
        <f>F38*AE38</f>
        <v>0</v>
      </c>
      <c r="AN38" s="36">
        <f>F38*AF38</f>
        <v>0</v>
      </c>
      <c r="AO38" s="37" t="s">
        <v>376</v>
      </c>
      <c r="AP38" s="37" t="s">
        <v>396</v>
      </c>
      <c r="AQ38" s="29" t="s">
        <v>405</v>
      </c>
    </row>
    <row r="39" spans="4:6" ht="12.75">
      <c r="D39" s="15" t="s">
        <v>208</v>
      </c>
      <c r="F39" s="20">
        <v>0.625</v>
      </c>
    </row>
    <row r="40" spans="1:43" ht="12.75">
      <c r="A40" s="4" t="s">
        <v>17</v>
      </c>
      <c r="B40" s="4"/>
      <c r="C40" s="4" t="s">
        <v>100</v>
      </c>
      <c r="D40" s="4" t="s">
        <v>209</v>
      </c>
      <c r="E40" s="4" t="s">
        <v>336</v>
      </c>
      <c r="F40" s="19">
        <v>176.75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</v>
      </c>
      <c r="L40" s="19">
        <f>F40*K40</f>
        <v>0</v>
      </c>
      <c r="M40" s="32" t="s">
        <v>358</v>
      </c>
      <c r="N40" s="32" t="s">
        <v>7</v>
      </c>
      <c r="O40" s="19">
        <f>IF(N40="5",I40,0)</f>
        <v>0</v>
      </c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M40" s="36">
        <f>F40*AE40</f>
        <v>0</v>
      </c>
      <c r="AN40" s="36">
        <f>F40*AF40</f>
        <v>0</v>
      </c>
      <c r="AO40" s="37" t="s">
        <v>376</v>
      </c>
      <c r="AP40" s="37" t="s">
        <v>396</v>
      </c>
      <c r="AQ40" s="29" t="s">
        <v>405</v>
      </c>
    </row>
    <row r="41" spans="4:6" ht="12.75">
      <c r="D41" s="15" t="s">
        <v>210</v>
      </c>
      <c r="F41" s="20">
        <v>176.75</v>
      </c>
    </row>
    <row r="42" spans="1:43" ht="12.75">
      <c r="A42" s="4" t="s">
        <v>18</v>
      </c>
      <c r="B42" s="4"/>
      <c r="C42" s="4" t="s">
        <v>101</v>
      </c>
      <c r="D42" s="4" t="s">
        <v>211</v>
      </c>
      <c r="E42" s="4" t="s">
        <v>336</v>
      </c>
      <c r="F42" s="19">
        <v>12.5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</v>
      </c>
      <c r="L42" s="19">
        <f>F42*K42</f>
        <v>0</v>
      </c>
      <c r="M42" s="32" t="s">
        <v>358</v>
      </c>
      <c r="N42" s="32" t="s">
        <v>7</v>
      </c>
      <c r="O42" s="19">
        <f>IF(N42="5",I42,0)</f>
        <v>0</v>
      </c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6">
        <v>21</v>
      </c>
      <c r="AE42" s="36">
        <f>G42*0</f>
        <v>0</v>
      </c>
      <c r="AF42" s="36">
        <f>G42*(1-0)</f>
        <v>0</v>
      </c>
      <c r="AM42" s="36">
        <f>F42*AE42</f>
        <v>0</v>
      </c>
      <c r="AN42" s="36">
        <f>F42*AF42</f>
        <v>0</v>
      </c>
      <c r="AO42" s="37" t="s">
        <v>376</v>
      </c>
      <c r="AP42" s="37" t="s">
        <v>396</v>
      </c>
      <c r="AQ42" s="29" t="s">
        <v>405</v>
      </c>
    </row>
    <row r="43" spans="4:6" ht="12.75">
      <c r="D43" s="15" t="s">
        <v>212</v>
      </c>
      <c r="F43" s="20">
        <v>12.5</v>
      </c>
    </row>
    <row r="44" spans="1:37" ht="12.75">
      <c r="A44" s="5"/>
      <c r="B44" s="13"/>
      <c r="C44" s="13" t="s">
        <v>25</v>
      </c>
      <c r="D44" s="113" t="s">
        <v>213</v>
      </c>
      <c r="E44" s="114"/>
      <c r="F44" s="114"/>
      <c r="G44" s="114"/>
      <c r="H44" s="39">
        <f>SUM(H45:H45)</f>
        <v>0</v>
      </c>
      <c r="I44" s="39">
        <f>SUM(I45:I45)</f>
        <v>0</v>
      </c>
      <c r="J44" s="39">
        <f>H44+I44</f>
        <v>0</v>
      </c>
      <c r="K44" s="29"/>
      <c r="L44" s="39">
        <f>SUM(L45:L45)</f>
        <v>0</v>
      </c>
      <c r="M44" s="29"/>
      <c r="P44" s="39">
        <f>IF(Q44="PR",J44,SUM(O45:O45))</f>
        <v>0</v>
      </c>
      <c r="Q44" s="29" t="s">
        <v>362</v>
      </c>
      <c r="R44" s="39">
        <f>IF(Q44="HS",H44,0)</f>
        <v>0</v>
      </c>
      <c r="S44" s="39">
        <f>IF(Q44="HS",I44-P44,0)</f>
        <v>0</v>
      </c>
      <c r="T44" s="39">
        <f>IF(Q44="PS",H44,0)</f>
        <v>0</v>
      </c>
      <c r="U44" s="39">
        <f>IF(Q44="PS",I44-P44,0)</f>
        <v>0</v>
      </c>
      <c r="V44" s="39">
        <f>IF(Q44="MP",H44,0)</f>
        <v>0</v>
      </c>
      <c r="W44" s="39">
        <f>IF(Q44="MP",I44-P44,0)</f>
        <v>0</v>
      </c>
      <c r="X44" s="39">
        <f>IF(Q44="OM",H44,0)</f>
        <v>0</v>
      </c>
      <c r="Y44" s="29"/>
      <c r="AI44" s="39">
        <f>SUM(Z45:Z45)</f>
        <v>0</v>
      </c>
      <c r="AJ44" s="39">
        <f>SUM(AA45:AA45)</f>
        <v>0</v>
      </c>
      <c r="AK44" s="39">
        <f>SUM(AB45:AB45)</f>
        <v>0</v>
      </c>
    </row>
    <row r="45" spans="1:43" ht="12.75">
      <c r="A45" s="4" t="s">
        <v>19</v>
      </c>
      <c r="B45" s="4"/>
      <c r="C45" s="4" t="s">
        <v>102</v>
      </c>
      <c r="D45" s="4" t="s">
        <v>214</v>
      </c>
      <c r="E45" s="4" t="s">
        <v>335</v>
      </c>
      <c r="F45" s="19">
        <v>109.2</v>
      </c>
      <c r="G45" s="19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</v>
      </c>
      <c r="L45" s="19">
        <f>F45*K45</f>
        <v>0</v>
      </c>
      <c r="M45" s="32" t="s">
        <v>358</v>
      </c>
      <c r="N45" s="32" t="s">
        <v>7</v>
      </c>
      <c r="O45" s="19">
        <f>IF(N45="5",I45,0)</f>
        <v>0</v>
      </c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6">
        <v>21</v>
      </c>
      <c r="AE45" s="36">
        <f>G45*0</f>
        <v>0</v>
      </c>
      <c r="AF45" s="36">
        <f>G45*(1-0)</f>
        <v>0</v>
      </c>
      <c r="AM45" s="36">
        <f>F45*AE45</f>
        <v>0</v>
      </c>
      <c r="AN45" s="36">
        <f>F45*AF45</f>
        <v>0</v>
      </c>
      <c r="AO45" s="37" t="s">
        <v>377</v>
      </c>
      <c r="AP45" s="37" t="s">
        <v>396</v>
      </c>
      <c r="AQ45" s="29" t="s">
        <v>405</v>
      </c>
    </row>
    <row r="46" spans="1:37" ht="12.75">
      <c r="A46" s="5"/>
      <c r="B46" s="13"/>
      <c r="C46" s="13" t="s">
        <v>27</v>
      </c>
      <c r="D46" s="113" t="s">
        <v>215</v>
      </c>
      <c r="E46" s="114"/>
      <c r="F46" s="114"/>
      <c r="G46" s="114"/>
      <c r="H46" s="39">
        <f>SUM(H47:H49)</f>
        <v>0</v>
      </c>
      <c r="I46" s="39">
        <f>SUM(I47:I49)</f>
        <v>0</v>
      </c>
      <c r="J46" s="39">
        <f>H46+I46</f>
        <v>0</v>
      </c>
      <c r="K46" s="29"/>
      <c r="L46" s="39">
        <f>SUM(L47:L49)</f>
        <v>23.043850000000003</v>
      </c>
      <c r="M46" s="29"/>
      <c r="P46" s="39">
        <f>IF(Q46="PR",J46,SUM(O47:O49))</f>
        <v>0</v>
      </c>
      <c r="Q46" s="29" t="s">
        <v>362</v>
      </c>
      <c r="R46" s="39">
        <f>IF(Q46="HS",H46,0)</f>
        <v>0</v>
      </c>
      <c r="S46" s="39">
        <f>IF(Q46="HS",I46-P46,0)</f>
        <v>0</v>
      </c>
      <c r="T46" s="39">
        <f>IF(Q46="PS",H46,0)</f>
        <v>0</v>
      </c>
      <c r="U46" s="39">
        <f>IF(Q46="PS",I46-P46,0)</f>
        <v>0</v>
      </c>
      <c r="V46" s="39">
        <f>IF(Q46="MP",H46,0)</f>
        <v>0</v>
      </c>
      <c r="W46" s="39">
        <f>IF(Q46="MP",I46-P46,0)</f>
        <v>0</v>
      </c>
      <c r="X46" s="39">
        <f>IF(Q46="OM",H46,0)</f>
        <v>0</v>
      </c>
      <c r="Y46" s="29"/>
      <c r="AI46" s="39">
        <f>SUM(Z47:Z49)</f>
        <v>0</v>
      </c>
      <c r="AJ46" s="39">
        <f>SUM(AA47:AA49)</f>
        <v>0</v>
      </c>
      <c r="AK46" s="39">
        <f>SUM(AB47:AB49)</f>
        <v>0</v>
      </c>
    </row>
    <row r="47" spans="1:43" ht="12.75">
      <c r="A47" s="4" t="s">
        <v>20</v>
      </c>
      <c r="B47" s="4"/>
      <c r="C47" s="4" t="s">
        <v>103</v>
      </c>
      <c r="D47" s="4" t="s">
        <v>216</v>
      </c>
      <c r="E47" s="4" t="s">
        <v>335</v>
      </c>
      <c r="F47" s="19">
        <v>9.3</v>
      </c>
      <c r="G47" s="19">
        <v>0</v>
      </c>
      <c r="H47" s="19">
        <f>F47*AE47</f>
        <v>0</v>
      </c>
      <c r="I47" s="19">
        <f>J47-H47</f>
        <v>0</v>
      </c>
      <c r="J47" s="19">
        <f>F47*G47</f>
        <v>0</v>
      </c>
      <c r="K47" s="19">
        <v>1.665</v>
      </c>
      <c r="L47" s="19">
        <f>F47*K47</f>
        <v>15.484500000000002</v>
      </c>
      <c r="M47" s="32" t="s">
        <v>358</v>
      </c>
      <c r="N47" s="32" t="s">
        <v>7</v>
      </c>
      <c r="O47" s="19">
        <f>IF(N47="5",I47,0)</f>
        <v>0</v>
      </c>
      <c r="Z47" s="19">
        <f>IF(AD47=0,J47,0)</f>
        <v>0</v>
      </c>
      <c r="AA47" s="19">
        <f>IF(AD47=15,J47,0)</f>
        <v>0</v>
      </c>
      <c r="AB47" s="19">
        <f>IF(AD47=21,J47,0)</f>
        <v>0</v>
      </c>
      <c r="AD47" s="36">
        <v>21</v>
      </c>
      <c r="AE47" s="36">
        <f>G47*0.777414965986395</f>
        <v>0</v>
      </c>
      <c r="AF47" s="36">
        <f>G47*(1-0.777414965986395)</f>
        <v>0</v>
      </c>
      <c r="AM47" s="36">
        <f>F47*AE47</f>
        <v>0</v>
      </c>
      <c r="AN47" s="36">
        <f>F47*AF47</f>
        <v>0</v>
      </c>
      <c r="AO47" s="37" t="s">
        <v>378</v>
      </c>
      <c r="AP47" s="37" t="s">
        <v>397</v>
      </c>
      <c r="AQ47" s="29" t="s">
        <v>405</v>
      </c>
    </row>
    <row r="48" spans="4:6" ht="12.75">
      <c r="D48" s="15" t="s">
        <v>217</v>
      </c>
      <c r="F48" s="20">
        <v>9.3</v>
      </c>
    </row>
    <row r="49" spans="1:43" ht="12.75">
      <c r="A49" s="4" t="s">
        <v>21</v>
      </c>
      <c r="B49" s="4"/>
      <c r="C49" s="4" t="s">
        <v>104</v>
      </c>
      <c r="D49" s="4" t="s">
        <v>218</v>
      </c>
      <c r="E49" s="4" t="s">
        <v>338</v>
      </c>
      <c r="F49" s="19">
        <v>31</v>
      </c>
      <c r="G49" s="19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0.24385</v>
      </c>
      <c r="L49" s="19">
        <f>F49*K49</f>
        <v>7.55935</v>
      </c>
      <c r="M49" s="32" t="s">
        <v>358</v>
      </c>
      <c r="N49" s="32" t="s">
        <v>7</v>
      </c>
      <c r="O49" s="19">
        <f>IF(N49="5",I49,0)</f>
        <v>0</v>
      </c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6">
        <v>21</v>
      </c>
      <c r="AE49" s="36">
        <f>G49*0.788411214953271</f>
        <v>0</v>
      </c>
      <c r="AF49" s="36">
        <f>G49*(1-0.788411214953271)</f>
        <v>0</v>
      </c>
      <c r="AM49" s="36">
        <f>F49*AE49</f>
        <v>0</v>
      </c>
      <c r="AN49" s="36">
        <f>F49*AF49</f>
        <v>0</v>
      </c>
      <c r="AO49" s="37" t="s">
        <v>378</v>
      </c>
      <c r="AP49" s="37" t="s">
        <v>397</v>
      </c>
      <c r="AQ49" s="29" t="s">
        <v>405</v>
      </c>
    </row>
    <row r="50" spans="1:37" ht="12.75">
      <c r="A50" s="5"/>
      <c r="B50" s="13"/>
      <c r="C50" s="13" t="s">
        <v>33</v>
      </c>
      <c r="D50" s="113" t="s">
        <v>219</v>
      </c>
      <c r="E50" s="114"/>
      <c r="F50" s="114"/>
      <c r="G50" s="114"/>
      <c r="H50" s="39">
        <f>SUM(H51:H51)</f>
        <v>0</v>
      </c>
      <c r="I50" s="39">
        <f>SUM(I51:I51)</f>
        <v>0</v>
      </c>
      <c r="J50" s="39">
        <f>H50+I50</f>
        <v>0</v>
      </c>
      <c r="K50" s="29"/>
      <c r="L50" s="39">
        <f>SUM(L51:L51)</f>
        <v>12.407849999999998</v>
      </c>
      <c r="M50" s="29"/>
      <c r="P50" s="39">
        <f>IF(Q50="PR",J50,SUM(O51:O51))</f>
        <v>0</v>
      </c>
      <c r="Q50" s="29" t="s">
        <v>362</v>
      </c>
      <c r="R50" s="39">
        <f>IF(Q50="HS",H50,0)</f>
        <v>0</v>
      </c>
      <c r="S50" s="39">
        <f>IF(Q50="HS",I50-P50,0)</f>
        <v>0</v>
      </c>
      <c r="T50" s="39">
        <f>IF(Q50="PS",H50,0)</f>
        <v>0</v>
      </c>
      <c r="U50" s="39">
        <f>IF(Q50="PS",I50-P50,0)</f>
        <v>0</v>
      </c>
      <c r="V50" s="39">
        <f>IF(Q50="MP",H50,0)</f>
        <v>0</v>
      </c>
      <c r="W50" s="39">
        <f>IF(Q50="MP",I50-P50,0)</f>
        <v>0</v>
      </c>
      <c r="X50" s="39">
        <f>IF(Q50="OM",H50,0)</f>
        <v>0</v>
      </c>
      <c r="Y50" s="29"/>
      <c r="AI50" s="39">
        <f>SUM(Z51:Z51)</f>
        <v>0</v>
      </c>
      <c r="AJ50" s="39">
        <f>SUM(AA51:AA51)</f>
        <v>0</v>
      </c>
      <c r="AK50" s="39">
        <f>SUM(AB51:AB51)</f>
        <v>0</v>
      </c>
    </row>
    <row r="51" spans="1:43" ht="12.75">
      <c r="A51" s="4" t="s">
        <v>22</v>
      </c>
      <c r="B51" s="4"/>
      <c r="C51" s="4" t="s">
        <v>105</v>
      </c>
      <c r="D51" s="4" t="s">
        <v>220</v>
      </c>
      <c r="E51" s="4" t="s">
        <v>335</v>
      </c>
      <c r="F51" s="19">
        <v>4.914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2.525</v>
      </c>
      <c r="L51" s="19">
        <f>F51*K51</f>
        <v>12.407849999999998</v>
      </c>
      <c r="M51" s="32" t="s">
        <v>358</v>
      </c>
      <c r="N51" s="32" t="s">
        <v>7</v>
      </c>
      <c r="O51" s="19">
        <f>IF(N51="5",I51,0)</f>
        <v>0</v>
      </c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6">
        <v>21</v>
      </c>
      <c r="AE51" s="36">
        <f>G51*0.90606008583691</f>
        <v>0</v>
      </c>
      <c r="AF51" s="36">
        <f>G51*(1-0.90606008583691)</f>
        <v>0</v>
      </c>
      <c r="AM51" s="36">
        <f>F51*AE51</f>
        <v>0</v>
      </c>
      <c r="AN51" s="36">
        <f>F51*AF51</f>
        <v>0</v>
      </c>
      <c r="AO51" s="37" t="s">
        <v>379</v>
      </c>
      <c r="AP51" s="37" t="s">
        <v>397</v>
      </c>
      <c r="AQ51" s="29" t="s">
        <v>405</v>
      </c>
    </row>
    <row r="52" spans="4:6" ht="12.75">
      <c r="D52" s="15" t="s">
        <v>221</v>
      </c>
      <c r="F52" s="20">
        <v>3.15</v>
      </c>
    </row>
    <row r="53" spans="4:6" ht="12.75">
      <c r="D53" s="15" t="s">
        <v>222</v>
      </c>
      <c r="F53" s="20">
        <v>1.764</v>
      </c>
    </row>
    <row r="54" spans="1:37" ht="12.75">
      <c r="A54" s="5"/>
      <c r="B54" s="13"/>
      <c r="C54" s="13" t="s">
        <v>37</v>
      </c>
      <c r="D54" s="113" t="s">
        <v>223</v>
      </c>
      <c r="E54" s="114"/>
      <c r="F54" s="114"/>
      <c r="G54" s="114"/>
      <c r="H54" s="39">
        <f>SUM(H55:H59)</f>
        <v>0</v>
      </c>
      <c r="I54" s="39">
        <f>SUM(I55:I59)</f>
        <v>0</v>
      </c>
      <c r="J54" s="39">
        <f>H54+I54</f>
        <v>0</v>
      </c>
      <c r="K54" s="29"/>
      <c r="L54" s="39">
        <f>SUM(L55:L59)</f>
        <v>141.7408648</v>
      </c>
      <c r="M54" s="29"/>
      <c r="P54" s="39">
        <f>IF(Q54="PR",J54,SUM(O55:O59))</f>
        <v>0</v>
      </c>
      <c r="Q54" s="29" t="s">
        <v>362</v>
      </c>
      <c r="R54" s="39">
        <f>IF(Q54="HS",H54,0)</f>
        <v>0</v>
      </c>
      <c r="S54" s="39">
        <f>IF(Q54="HS",I54-P54,0)</f>
        <v>0</v>
      </c>
      <c r="T54" s="39">
        <f>IF(Q54="PS",H54,0)</f>
        <v>0</v>
      </c>
      <c r="U54" s="39">
        <f>IF(Q54="PS",I54-P54,0)</f>
        <v>0</v>
      </c>
      <c r="V54" s="39">
        <f>IF(Q54="MP",H54,0)</f>
        <v>0</v>
      </c>
      <c r="W54" s="39">
        <f>IF(Q54="MP",I54-P54,0)</f>
        <v>0</v>
      </c>
      <c r="X54" s="39">
        <f>IF(Q54="OM",H54,0)</f>
        <v>0</v>
      </c>
      <c r="Y54" s="29"/>
      <c r="AI54" s="39">
        <f>SUM(Z55:Z59)</f>
        <v>0</v>
      </c>
      <c r="AJ54" s="39">
        <f>SUM(AA55:AA59)</f>
        <v>0</v>
      </c>
      <c r="AK54" s="39">
        <f>SUM(AB55:AB59)</f>
        <v>0</v>
      </c>
    </row>
    <row r="55" spans="1:43" ht="12.75">
      <c r="A55" s="4" t="s">
        <v>23</v>
      </c>
      <c r="B55" s="4"/>
      <c r="C55" s="4" t="s">
        <v>106</v>
      </c>
      <c r="D55" s="4" t="s">
        <v>224</v>
      </c>
      <c r="E55" s="4" t="s">
        <v>339</v>
      </c>
      <c r="F55" s="19">
        <v>20</v>
      </c>
      <c r="G55" s="19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0.01469</v>
      </c>
      <c r="L55" s="19">
        <f>F55*K55</f>
        <v>0.2938</v>
      </c>
      <c r="M55" s="32" t="s">
        <v>358</v>
      </c>
      <c r="N55" s="32" t="s">
        <v>7</v>
      </c>
      <c r="O55" s="19">
        <f>IF(N55="5",I55,0)</f>
        <v>0</v>
      </c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6">
        <v>21</v>
      </c>
      <c r="AE55" s="36">
        <f>G55*0.424889631308913</f>
        <v>0</v>
      </c>
      <c r="AF55" s="36">
        <f>G55*(1-0.424889631308913)</f>
        <v>0</v>
      </c>
      <c r="AM55" s="36">
        <f>F55*AE55</f>
        <v>0</v>
      </c>
      <c r="AN55" s="36">
        <f>F55*AF55</f>
        <v>0</v>
      </c>
      <c r="AO55" s="37" t="s">
        <v>380</v>
      </c>
      <c r="AP55" s="37" t="s">
        <v>398</v>
      </c>
      <c r="AQ55" s="29" t="s">
        <v>405</v>
      </c>
    </row>
    <row r="56" spans="1:43" ht="12.75">
      <c r="A56" s="4" t="s">
        <v>24</v>
      </c>
      <c r="B56" s="4"/>
      <c r="C56" s="4" t="s">
        <v>107</v>
      </c>
      <c r="D56" s="4" t="s">
        <v>225</v>
      </c>
      <c r="E56" s="4" t="s">
        <v>335</v>
      </c>
      <c r="F56" s="19">
        <v>53.16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2.66078</v>
      </c>
      <c r="L56" s="19">
        <f>F56*K56</f>
        <v>141.4470648</v>
      </c>
      <c r="M56" s="32" t="s">
        <v>358</v>
      </c>
      <c r="N56" s="32" t="s">
        <v>7</v>
      </c>
      <c r="O56" s="19">
        <f>IF(N56="5",I56,0)</f>
        <v>0</v>
      </c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6">
        <v>21</v>
      </c>
      <c r="AE56" s="36">
        <f>G56*0.611723342939481</f>
        <v>0</v>
      </c>
      <c r="AF56" s="36">
        <f>G56*(1-0.611723342939481)</f>
        <v>0</v>
      </c>
      <c r="AM56" s="36">
        <f>F56*AE56</f>
        <v>0</v>
      </c>
      <c r="AN56" s="36">
        <f>F56*AF56</f>
        <v>0</v>
      </c>
      <c r="AO56" s="37" t="s">
        <v>380</v>
      </c>
      <c r="AP56" s="37" t="s">
        <v>398</v>
      </c>
      <c r="AQ56" s="29" t="s">
        <v>405</v>
      </c>
    </row>
    <row r="57" spans="4:6" ht="12.75">
      <c r="D57" s="15" t="s">
        <v>226</v>
      </c>
      <c r="F57" s="20">
        <v>17.16</v>
      </c>
    </row>
    <row r="58" spans="4:6" ht="12.75">
      <c r="D58" s="15" t="s">
        <v>185</v>
      </c>
      <c r="F58" s="20">
        <v>36</v>
      </c>
    </row>
    <row r="59" spans="1:43" ht="12.75">
      <c r="A59" s="4" t="s">
        <v>25</v>
      </c>
      <c r="B59" s="4"/>
      <c r="C59" s="4" t="s">
        <v>108</v>
      </c>
      <c r="D59" s="4" t="s">
        <v>227</v>
      </c>
      <c r="E59" s="4" t="s">
        <v>335</v>
      </c>
      <c r="F59" s="19">
        <v>53.16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</v>
      </c>
      <c r="L59" s="19">
        <f>F59*K59</f>
        <v>0</v>
      </c>
      <c r="M59" s="32" t="s">
        <v>358</v>
      </c>
      <c r="N59" s="32" t="s">
        <v>7</v>
      </c>
      <c r="O59" s="19">
        <f>IF(N59="5",I59,0)</f>
        <v>0</v>
      </c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6">
        <v>21</v>
      </c>
      <c r="AE59" s="36">
        <f>G59*0</f>
        <v>0</v>
      </c>
      <c r="AF59" s="36">
        <f>G59*(1-0)</f>
        <v>0</v>
      </c>
      <c r="AM59" s="36">
        <f>F59*AE59</f>
        <v>0</v>
      </c>
      <c r="AN59" s="36">
        <f>F59*AF59</f>
        <v>0</v>
      </c>
      <c r="AO59" s="37" t="s">
        <v>380</v>
      </c>
      <c r="AP59" s="37" t="s">
        <v>398</v>
      </c>
      <c r="AQ59" s="29" t="s">
        <v>405</v>
      </c>
    </row>
    <row r="60" spans="4:6" ht="12.75">
      <c r="D60" s="15" t="s">
        <v>226</v>
      </c>
      <c r="F60" s="20">
        <v>17.16</v>
      </c>
    </row>
    <row r="61" spans="4:6" ht="12.75">
      <c r="D61" s="15" t="s">
        <v>185</v>
      </c>
      <c r="F61" s="20">
        <v>36</v>
      </c>
    </row>
    <row r="62" spans="1:37" ht="12.75">
      <c r="A62" s="5"/>
      <c r="B62" s="13"/>
      <c r="C62" s="13" t="s">
        <v>38</v>
      </c>
      <c r="D62" s="113" t="s">
        <v>228</v>
      </c>
      <c r="E62" s="114"/>
      <c r="F62" s="114"/>
      <c r="G62" s="114"/>
      <c r="H62" s="39">
        <f>SUM(H63:H63)</f>
        <v>0</v>
      </c>
      <c r="I62" s="39">
        <f>SUM(I63:I63)</f>
        <v>0</v>
      </c>
      <c r="J62" s="39">
        <f>H62+I62</f>
        <v>0</v>
      </c>
      <c r="K62" s="29"/>
      <c r="L62" s="39">
        <f>SUM(L63:L63)</f>
        <v>4.172154</v>
      </c>
      <c r="M62" s="29"/>
      <c r="P62" s="39">
        <f>IF(Q62="PR",J62,SUM(O63:O63))</f>
        <v>0</v>
      </c>
      <c r="Q62" s="29" t="s">
        <v>362</v>
      </c>
      <c r="R62" s="39">
        <f>IF(Q62="HS",H62,0)</f>
        <v>0</v>
      </c>
      <c r="S62" s="39">
        <f>IF(Q62="HS",I62-P62,0)</f>
        <v>0</v>
      </c>
      <c r="T62" s="39">
        <f>IF(Q62="PS",H62,0)</f>
        <v>0</v>
      </c>
      <c r="U62" s="39">
        <f>IF(Q62="PS",I62-P62,0)</f>
        <v>0</v>
      </c>
      <c r="V62" s="39">
        <f>IF(Q62="MP",H62,0)</f>
        <v>0</v>
      </c>
      <c r="W62" s="39">
        <f>IF(Q62="MP",I62-P62,0)</f>
        <v>0</v>
      </c>
      <c r="X62" s="39">
        <f>IF(Q62="OM",H62,0)</f>
        <v>0</v>
      </c>
      <c r="Y62" s="29"/>
      <c r="AI62" s="39">
        <f>SUM(Z63:Z63)</f>
        <v>0</v>
      </c>
      <c r="AJ62" s="39">
        <f>SUM(AA63:AA63)</f>
        <v>0</v>
      </c>
      <c r="AK62" s="39">
        <f>SUM(AB63:AB63)</f>
        <v>0</v>
      </c>
    </row>
    <row r="63" spans="1:43" ht="12.75">
      <c r="A63" s="4" t="s">
        <v>26</v>
      </c>
      <c r="B63" s="4"/>
      <c r="C63" s="4" t="s">
        <v>109</v>
      </c>
      <c r="D63" s="4" t="s">
        <v>229</v>
      </c>
      <c r="E63" s="4" t="s">
        <v>335</v>
      </c>
      <c r="F63" s="19">
        <v>2.1</v>
      </c>
      <c r="G63" s="19">
        <v>0</v>
      </c>
      <c r="H63" s="19">
        <f>F63*AE63</f>
        <v>0</v>
      </c>
      <c r="I63" s="19">
        <f>J63-H63</f>
        <v>0</v>
      </c>
      <c r="J63" s="19">
        <f>F63*G63</f>
        <v>0</v>
      </c>
      <c r="K63" s="19">
        <v>1.98674</v>
      </c>
      <c r="L63" s="19">
        <f>F63*K63</f>
        <v>4.172154</v>
      </c>
      <c r="M63" s="32" t="s">
        <v>358</v>
      </c>
      <c r="N63" s="32" t="s">
        <v>7</v>
      </c>
      <c r="O63" s="19">
        <f>IF(N63="5",I63,0)</f>
        <v>0</v>
      </c>
      <c r="Z63" s="19">
        <f>IF(AD63=0,J63,0)</f>
        <v>0</v>
      </c>
      <c r="AA63" s="19">
        <f>IF(AD63=15,J63,0)</f>
        <v>0</v>
      </c>
      <c r="AB63" s="19">
        <f>IF(AD63=21,J63,0)</f>
        <v>0</v>
      </c>
      <c r="AD63" s="36">
        <v>21</v>
      </c>
      <c r="AE63" s="36">
        <f>G63*0.53146</f>
        <v>0</v>
      </c>
      <c r="AF63" s="36">
        <f>G63*(1-0.53146)</f>
        <v>0</v>
      </c>
      <c r="AM63" s="36">
        <f>F63*AE63</f>
        <v>0</v>
      </c>
      <c r="AN63" s="36">
        <f>F63*AF63</f>
        <v>0</v>
      </c>
      <c r="AO63" s="37" t="s">
        <v>381</v>
      </c>
      <c r="AP63" s="37" t="s">
        <v>398</v>
      </c>
      <c r="AQ63" s="29" t="s">
        <v>405</v>
      </c>
    </row>
    <row r="64" spans="4:6" ht="12.75">
      <c r="D64" s="15" t="s">
        <v>230</v>
      </c>
      <c r="F64" s="20">
        <v>2.1</v>
      </c>
    </row>
    <row r="65" spans="1:37" ht="12.75">
      <c r="A65" s="5"/>
      <c r="B65" s="13"/>
      <c r="C65" s="13" t="s">
        <v>40</v>
      </c>
      <c r="D65" s="113" t="s">
        <v>231</v>
      </c>
      <c r="E65" s="114"/>
      <c r="F65" s="114"/>
      <c r="G65" s="114"/>
      <c r="H65" s="39">
        <f>SUM(H66:H68)</f>
        <v>0</v>
      </c>
      <c r="I65" s="39">
        <f>SUM(I66:I68)</f>
        <v>0</v>
      </c>
      <c r="J65" s="39">
        <f>H65+I65</f>
        <v>0</v>
      </c>
      <c r="K65" s="29"/>
      <c r="L65" s="39">
        <f>SUM(L66:L68)</f>
        <v>1.11888</v>
      </c>
      <c r="M65" s="29"/>
      <c r="P65" s="39">
        <f>IF(Q65="PR",J65,SUM(O66:O68))</f>
        <v>0</v>
      </c>
      <c r="Q65" s="29" t="s">
        <v>362</v>
      </c>
      <c r="R65" s="39">
        <f>IF(Q65="HS",H65,0)</f>
        <v>0</v>
      </c>
      <c r="S65" s="39">
        <f>IF(Q65="HS",I65-P65,0)</f>
        <v>0</v>
      </c>
      <c r="T65" s="39">
        <f>IF(Q65="PS",H65,0)</f>
        <v>0</v>
      </c>
      <c r="U65" s="39">
        <f>IF(Q65="PS",I65-P65,0)</f>
        <v>0</v>
      </c>
      <c r="V65" s="39">
        <f>IF(Q65="MP",H65,0)</f>
        <v>0</v>
      </c>
      <c r="W65" s="39">
        <f>IF(Q65="MP",I65-P65,0)</f>
        <v>0</v>
      </c>
      <c r="X65" s="39">
        <f>IF(Q65="OM",H65,0)</f>
        <v>0</v>
      </c>
      <c r="Y65" s="29"/>
      <c r="AI65" s="39">
        <f>SUM(Z66:Z68)</f>
        <v>0</v>
      </c>
      <c r="AJ65" s="39">
        <f>SUM(AA66:AA68)</f>
        <v>0</v>
      </c>
      <c r="AK65" s="39">
        <f>SUM(AB66:AB68)</f>
        <v>0</v>
      </c>
    </row>
    <row r="66" spans="1:43" ht="12.75">
      <c r="A66" s="4" t="s">
        <v>27</v>
      </c>
      <c r="B66" s="4"/>
      <c r="C66" s="4" t="s">
        <v>110</v>
      </c>
      <c r="D66" s="4" t="s">
        <v>232</v>
      </c>
      <c r="E66" s="4" t="s">
        <v>338</v>
      </c>
      <c r="F66" s="19">
        <v>48</v>
      </c>
      <c r="G66" s="19">
        <v>0</v>
      </c>
      <c r="H66" s="19">
        <f>F66*AE66</f>
        <v>0</v>
      </c>
      <c r="I66" s="19">
        <f>J66-H66</f>
        <v>0</v>
      </c>
      <c r="J66" s="19">
        <f>F66*G66</f>
        <v>0</v>
      </c>
      <c r="K66" s="19">
        <v>0.02331</v>
      </c>
      <c r="L66" s="19">
        <f>F66*K66</f>
        <v>1.11888</v>
      </c>
      <c r="M66" s="32" t="s">
        <v>358</v>
      </c>
      <c r="N66" s="32" t="s">
        <v>7</v>
      </c>
      <c r="O66" s="19">
        <f>IF(N66="5",I66,0)</f>
        <v>0</v>
      </c>
      <c r="Z66" s="19">
        <f>IF(AD66=0,J66,0)</f>
        <v>0</v>
      </c>
      <c r="AA66" s="19">
        <f>IF(AD66=15,J66,0)</f>
        <v>0</v>
      </c>
      <c r="AB66" s="19">
        <f>IF(AD66=21,J66,0)</f>
        <v>0</v>
      </c>
      <c r="AD66" s="36">
        <v>21</v>
      </c>
      <c r="AE66" s="36">
        <f>G66*0.804985465116279</f>
        <v>0</v>
      </c>
      <c r="AF66" s="36">
        <f>G66*(1-0.804985465116279)</f>
        <v>0</v>
      </c>
      <c r="AM66" s="36">
        <f>F66*AE66</f>
        <v>0</v>
      </c>
      <c r="AN66" s="36">
        <f>F66*AF66</f>
        <v>0</v>
      </c>
      <c r="AO66" s="37" t="s">
        <v>382</v>
      </c>
      <c r="AP66" s="37" t="s">
        <v>398</v>
      </c>
      <c r="AQ66" s="29" t="s">
        <v>405</v>
      </c>
    </row>
    <row r="67" spans="4:6" ht="12.75">
      <c r="D67" s="15" t="s">
        <v>233</v>
      </c>
      <c r="F67" s="20">
        <v>48</v>
      </c>
    </row>
    <row r="68" spans="1:43" ht="12.75">
      <c r="A68" s="6" t="s">
        <v>28</v>
      </c>
      <c r="B68" s="6"/>
      <c r="C68" s="6" t="s">
        <v>111</v>
      </c>
      <c r="D68" s="6" t="s">
        <v>234</v>
      </c>
      <c r="E68" s="6" t="s">
        <v>338</v>
      </c>
      <c r="F68" s="21">
        <v>48</v>
      </c>
      <c r="G68" s="21">
        <v>0</v>
      </c>
      <c r="H68" s="21">
        <f>F68*AE68</f>
        <v>0</v>
      </c>
      <c r="I68" s="21">
        <f>J68-H68</f>
        <v>0</v>
      </c>
      <c r="J68" s="21">
        <f>F68*G68</f>
        <v>0</v>
      </c>
      <c r="K68" s="21">
        <v>0</v>
      </c>
      <c r="L68" s="21">
        <f>F68*K68</f>
        <v>0</v>
      </c>
      <c r="M68" s="33"/>
      <c r="N68" s="33" t="s">
        <v>359</v>
      </c>
      <c r="O68" s="21">
        <f>IF(N68="5",I68,0)</f>
        <v>0</v>
      </c>
      <c r="Z68" s="21">
        <f>IF(AD68=0,J68,0)</f>
        <v>0</v>
      </c>
      <c r="AA68" s="21">
        <f>IF(AD68=15,J68,0)</f>
        <v>0</v>
      </c>
      <c r="AB68" s="21">
        <f>IF(AD68=21,J68,0)</f>
        <v>0</v>
      </c>
      <c r="AD68" s="36">
        <v>21</v>
      </c>
      <c r="AE68" s="36">
        <f>G68*1</f>
        <v>0</v>
      </c>
      <c r="AF68" s="36">
        <f>G68*(1-1)</f>
        <v>0</v>
      </c>
      <c r="AM68" s="36">
        <f>F68*AE68</f>
        <v>0</v>
      </c>
      <c r="AN68" s="36">
        <f>F68*AF68</f>
        <v>0</v>
      </c>
      <c r="AO68" s="37" t="s">
        <v>382</v>
      </c>
      <c r="AP68" s="37" t="s">
        <v>398</v>
      </c>
      <c r="AQ68" s="29" t="s">
        <v>405</v>
      </c>
    </row>
    <row r="69" spans="4:6" ht="12.75">
      <c r="D69" s="15" t="s">
        <v>233</v>
      </c>
      <c r="F69" s="20">
        <v>48</v>
      </c>
    </row>
    <row r="70" spans="1:37" ht="12.75">
      <c r="A70" s="5"/>
      <c r="B70" s="13"/>
      <c r="C70" s="13" t="s">
        <v>45</v>
      </c>
      <c r="D70" s="113" t="s">
        <v>235</v>
      </c>
      <c r="E70" s="114"/>
      <c r="F70" s="114"/>
      <c r="G70" s="114"/>
      <c r="H70" s="39">
        <f>SUM(H71:H71)</f>
        <v>0</v>
      </c>
      <c r="I70" s="39">
        <f>SUM(I71:I71)</f>
        <v>0</v>
      </c>
      <c r="J70" s="39">
        <f>H70+I70</f>
        <v>0</v>
      </c>
      <c r="K70" s="29"/>
      <c r="L70" s="39">
        <f>SUM(L71:L71)</f>
        <v>10.27</v>
      </c>
      <c r="M70" s="29"/>
      <c r="P70" s="39">
        <f>IF(Q70="PR",J70,SUM(O71:O71))</f>
        <v>0</v>
      </c>
      <c r="Q70" s="29" t="s">
        <v>362</v>
      </c>
      <c r="R70" s="39">
        <f>IF(Q70="HS",H70,0)</f>
        <v>0</v>
      </c>
      <c r="S70" s="39">
        <f>IF(Q70="HS",I70-P70,0)</f>
        <v>0</v>
      </c>
      <c r="T70" s="39">
        <f>IF(Q70="PS",H70,0)</f>
        <v>0</v>
      </c>
      <c r="U70" s="39">
        <f>IF(Q70="PS",I70-P70,0)</f>
        <v>0</v>
      </c>
      <c r="V70" s="39">
        <f>IF(Q70="MP",H70,0)</f>
        <v>0</v>
      </c>
      <c r="W70" s="39">
        <f>IF(Q70="MP",I70-P70,0)</f>
        <v>0</v>
      </c>
      <c r="X70" s="39">
        <f>IF(Q70="OM",H70,0)</f>
        <v>0</v>
      </c>
      <c r="Y70" s="29"/>
      <c r="AI70" s="39">
        <f>SUM(Z71:Z71)</f>
        <v>0</v>
      </c>
      <c r="AJ70" s="39">
        <f>SUM(AA71:AA71)</f>
        <v>0</v>
      </c>
      <c r="AK70" s="39">
        <f>SUM(AB71:AB71)</f>
        <v>0</v>
      </c>
    </row>
    <row r="71" spans="1:43" ht="12.75">
      <c r="A71" s="4" t="s">
        <v>29</v>
      </c>
      <c r="B71" s="4"/>
      <c r="C71" s="4" t="s">
        <v>112</v>
      </c>
      <c r="D71" s="4" t="s">
        <v>236</v>
      </c>
      <c r="E71" s="4" t="s">
        <v>336</v>
      </c>
      <c r="F71" s="19">
        <v>79</v>
      </c>
      <c r="G71" s="19">
        <v>0</v>
      </c>
      <c r="H71" s="19">
        <f>F71*AE71</f>
        <v>0</v>
      </c>
      <c r="I71" s="19">
        <f>J71-H71</f>
        <v>0</v>
      </c>
      <c r="J71" s="19">
        <f>F71*G71</f>
        <v>0</v>
      </c>
      <c r="K71" s="19">
        <v>0.13</v>
      </c>
      <c r="L71" s="19">
        <f>F71*K71</f>
        <v>10.27</v>
      </c>
      <c r="M71" s="32" t="s">
        <v>358</v>
      </c>
      <c r="N71" s="32" t="s">
        <v>7</v>
      </c>
      <c r="O71" s="19">
        <f>IF(N71="5",I71,0)</f>
        <v>0</v>
      </c>
      <c r="Z71" s="19">
        <f>IF(AD71=0,J71,0)</f>
        <v>0</v>
      </c>
      <c r="AA71" s="19">
        <f>IF(AD71=15,J71,0)</f>
        <v>0</v>
      </c>
      <c r="AB71" s="19">
        <f>IF(AD71=21,J71,0)</f>
        <v>0</v>
      </c>
      <c r="AD71" s="36">
        <v>21</v>
      </c>
      <c r="AE71" s="36">
        <f>G71*0.2253071976984</f>
        <v>0</v>
      </c>
      <c r="AF71" s="36">
        <f>G71*(1-0.2253071976984)</f>
        <v>0</v>
      </c>
      <c r="AM71" s="36">
        <f>F71*AE71</f>
        <v>0</v>
      </c>
      <c r="AN71" s="36">
        <f>F71*AF71</f>
        <v>0</v>
      </c>
      <c r="AO71" s="37" t="s">
        <v>383</v>
      </c>
      <c r="AP71" s="37" t="s">
        <v>398</v>
      </c>
      <c r="AQ71" s="29" t="s">
        <v>405</v>
      </c>
    </row>
    <row r="72" spans="4:6" ht="12.75">
      <c r="D72" s="15" t="s">
        <v>237</v>
      </c>
      <c r="F72" s="20">
        <v>79</v>
      </c>
    </row>
    <row r="73" spans="1:37" ht="12.75">
      <c r="A73" s="5"/>
      <c r="B73" s="13"/>
      <c r="C73" s="13" t="s">
        <v>49</v>
      </c>
      <c r="D73" s="113" t="s">
        <v>238</v>
      </c>
      <c r="E73" s="114"/>
      <c r="F73" s="114"/>
      <c r="G73" s="114"/>
      <c r="H73" s="39">
        <f>SUM(H74:H77)</f>
        <v>0</v>
      </c>
      <c r="I73" s="39">
        <f>SUM(I74:I77)</f>
        <v>0</v>
      </c>
      <c r="J73" s="39">
        <f>H73+I73</f>
        <v>0</v>
      </c>
      <c r="K73" s="29"/>
      <c r="L73" s="39">
        <f>SUM(L74:L77)</f>
        <v>1.9624675000000003</v>
      </c>
      <c r="M73" s="29"/>
      <c r="P73" s="39">
        <f>IF(Q73="PR",J73,SUM(O74:O77))</f>
        <v>0</v>
      </c>
      <c r="Q73" s="29" t="s">
        <v>362</v>
      </c>
      <c r="R73" s="39">
        <f>IF(Q73="HS",H73,0)</f>
        <v>0</v>
      </c>
      <c r="S73" s="39">
        <f>IF(Q73="HS",I73-P73,0)</f>
        <v>0</v>
      </c>
      <c r="T73" s="39">
        <f>IF(Q73="PS",H73,0)</f>
        <v>0</v>
      </c>
      <c r="U73" s="39">
        <f>IF(Q73="PS",I73-P73,0)</f>
        <v>0</v>
      </c>
      <c r="V73" s="39">
        <f>IF(Q73="MP",H73,0)</f>
        <v>0</v>
      </c>
      <c r="W73" s="39">
        <f>IF(Q73="MP",I73-P73,0)</f>
        <v>0</v>
      </c>
      <c r="X73" s="39">
        <f>IF(Q73="OM",H73,0)</f>
        <v>0</v>
      </c>
      <c r="Y73" s="29"/>
      <c r="AI73" s="39">
        <f>SUM(Z74:Z77)</f>
        <v>0</v>
      </c>
      <c r="AJ73" s="39">
        <f>SUM(AA74:AA77)</f>
        <v>0</v>
      </c>
      <c r="AK73" s="39">
        <f>SUM(AB74:AB77)</f>
        <v>0</v>
      </c>
    </row>
    <row r="74" spans="1:43" ht="12.75">
      <c r="A74" s="4" t="s">
        <v>30</v>
      </c>
      <c r="B74" s="4"/>
      <c r="C74" s="4" t="s">
        <v>113</v>
      </c>
      <c r="D74" s="4" t="s">
        <v>239</v>
      </c>
      <c r="E74" s="4" t="s">
        <v>338</v>
      </c>
      <c r="F74" s="19">
        <v>41.75</v>
      </c>
      <c r="G74" s="19">
        <v>0</v>
      </c>
      <c r="H74" s="19">
        <f>F74*AE74</f>
        <v>0</v>
      </c>
      <c r="I74" s="19">
        <f>J74-H74</f>
        <v>0</v>
      </c>
      <c r="J74" s="19">
        <f>F74*G74</f>
        <v>0</v>
      </c>
      <c r="K74" s="19">
        <v>0.03461</v>
      </c>
      <c r="L74" s="19">
        <f>F74*K74</f>
        <v>1.4449675000000002</v>
      </c>
      <c r="M74" s="32" t="s">
        <v>358</v>
      </c>
      <c r="N74" s="32" t="s">
        <v>7</v>
      </c>
      <c r="O74" s="19">
        <f>IF(N74="5",I74,0)</f>
        <v>0</v>
      </c>
      <c r="Z74" s="19">
        <f>IF(AD74=0,J74,0)</f>
        <v>0</v>
      </c>
      <c r="AA74" s="19">
        <f>IF(AD74=15,J74,0)</f>
        <v>0</v>
      </c>
      <c r="AB74" s="19">
        <f>IF(AD74=21,J74,0)</f>
        <v>0</v>
      </c>
      <c r="AD74" s="36">
        <v>21</v>
      </c>
      <c r="AE74" s="36">
        <f>G74*0.201644819398058</f>
        <v>0</v>
      </c>
      <c r="AF74" s="36">
        <f>G74*(1-0.201644819398058)</f>
        <v>0</v>
      </c>
      <c r="AM74" s="36">
        <f>F74*AE74</f>
        <v>0</v>
      </c>
      <c r="AN74" s="36">
        <f>F74*AF74</f>
        <v>0</v>
      </c>
      <c r="AO74" s="37" t="s">
        <v>384</v>
      </c>
      <c r="AP74" s="37" t="s">
        <v>399</v>
      </c>
      <c r="AQ74" s="29" t="s">
        <v>405</v>
      </c>
    </row>
    <row r="75" spans="4:6" ht="12.75">
      <c r="D75" s="15" t="s">
        <v>240</v>
      </c>
      <c r="F75" s="20">
        <v>38</v>
      </c>
    </row>
    <row r="76" spans="4:6" ht="12.75">
      <c r="D76" s="15" t="s">
        <v>241</v>
      </c>
      <c r="F76" s="20">
        <v>3.75</v>
      </c>
    </row>
    <row r="77" spans="1:43" ht="12.75">
      <c r="A77" s="6" t="s">
        <v>31</v>
      </c>
      <c r="B77" s="6"/>
      <c r="C77" s="6" t="s">
        <v>114</v>
      </c>
      <c r="D77" s="6" t="s">
        <v>242</v>
      </c>
      <c r="E77" s="6" t="s">
        <v>339</v>
      </c>
      <c r="F77" s="21">
        <v>3.75</v>
      </c>
      <c r="G77" s="21">
        <v>0</v>
      </c>
      <c r="H77" s="21">
        <f>F77*AE77</f>
        <v>0</v>
      </c>
      <c r="I77" s="21">
        <f>J77-H77</f>
        <v>0</v>
      </c>
      <c r="J77" s="21">
        <f>F77*G77</f>
        <v>0</v>
      </c>
      <c r="K77" s="21">
        <v>0.138</v>
      </c>
      <c r="L77" s="21">
        <f>F77*K77</f>
        <v>0.5175000000000001</v>
      </c>
      <c r="M77" s="33" t="s">
        <v>358</v>
      </c>
      <c r="N77" s="33" t="s">
        <v>359</v>
      </c>
      <c r="O77" s="21">
        <f>IF(N77="5",I77,0)</f>
        <v>0</v>
      </c>
      <c r="Z77" s="21">
        <f>IF(AD77=0,J77,0)</f>
        <v>0</v>
      </c>
      <c r="AA77" s="21">
        <f>IF(AD77=15,J77,0)</f>
        <v>0</v>
      </c>
      <c r="AB77" s="21">
        <f>IF(AD77=21,J77,0)</f>
        <v>0</v>
      </c>
      <c r="AD77" s="36">
        <v>21</v>
      </c>
      <c r="AE77" s="36">
        <f>G77*1</f>
        <v>0</v>
      </c>
      <c r="AF77" s="36">
        <f>G77*(1-1)</f>
        <v>0</v>
      </c>
      <c r="AM77" s="36">
        <f>F77*AE77</f>
        <v>0</v>
      </c>
      <c r="AN77" s="36">
        <f>F77*AF77</f>
        <v>0</v>
      </c>
      <c r="AO77" s="37" t="s">
        <v>384</v>
      </c>
      <c r="AP77" s="37" t="s">
        <v>399</v>
      </c>
      <c r="AQ77" s="29" t="s">
        <v>405</v>
      </c>
    </row>
    <row r="78" spans="4:6" ht="12.75">
      <c r="D78" s="15" t="s">
        <v>241</v>
      </c>
      <c r="F78" s="20">
        <v>3.75</v>
      </c>
    </row>
    <row r="79" spans="1:37" ht="12.75">
      <c r="A79" s="5"/>
      <c r="B79" s="13"/>
      <c r="C79" s="13" t="s">
        <v>52</v>
      </c>
      <c r="D79" s="113" t="s">
        <v>243</v>
      </c>
      <c r="E79" s="114"/>
      <c r="F79" s="114"/>
      <c r="G79" s="114"/>
      <c r="H79" s="39">
        <f>SUM(H80:H80)</f>
        <v>0</v>
      </c>
      <c r="I79" s="39">
        <f>SUM(I80:I80)</f>
        <v>0</v>
      </c>
      <c r="J79" s="39">
        <f>H79+I79</f>
        <v>0</v>
      </c>
      <c r="K79" s="29"/>
      <c r="L79" s="39">
        <f>SUM(L80:L80)</f>
        <v>65.1</v>
      </c>
      <c r="M79" s="29"/>
      <c r="P79" s="39">
        <f>IF(Q79="PR",J79,SUM(O80:O80))</f>
        <v>0</v>
      </c>
      <c r="Q79" s="29" t="s">
        <v>362</v>
      </c>
      <c r="R79" s="39">
        <f>IF(Q79="HS",H79,0)</f>
        <v>0</v>
      </c>
      <c r="S79" s="39">
        <f>IF(Q79="HS",I79-P79,0)</f>
        <v>0</v>
      </c>
      <c r="T79" s="39">
        <f>IF(Q79="PS",H79,0)</f>
        <v>0</v>
      </c>
      <c r="U79" s="39">
        <f>IF(Q79="PS",I79-P79,0)</f>
        <v>0</v>
      </c>
      <c r="V79" s="39">
        <f>IF(Q79="MP",H79,0)</f>
        <v>0</v>
      </c>
      <c r="W79" s="39">
        <f>IF(Q79="MP",I79-P79,0)</f>
        <v>0</v>
      </c>
      <c r="X79" s="39">
        <f>IF(Q79="OM",H79,0)</f>
        <v>0</v>
      </c>
      <c r="Y79" s="29"/>
      <c r="AI79" s="39">
        <f>SUM(Z80:Z80)</f>
        <v>0</v>
      </c>
      <c r="AJ79" s="39">
        <f>SUM(AA80:AA80)</f>
        <v>0</v>
      </c>
      <c r="AK79" s="39">
        <f>SUM(AB80:AB80)</f>
        <v>0</v>
      </c>
    </row>
    <row r="80" spans="1:43" ht="12.75">
      <c r="A80" s="4" t="s">
        <v>32</v>
      </c>
      <c r="B80" s="4"/>
      <c r="C80" s="4" t="s">
        <v>115</v>
      </c>
      <c r="D80" s="4" t="s">
        <v>244</v>
      </c>
      <c r="E80" s="4" t="s">
        <v>336</v>
      </c>
      <c r="F80" s="19">
        <v>155</v>
      </c>
      <c r="G80" s="19">
        <v>0</v>
      </c>
      <c r="H80" s="19">
        <f>F80*AE80</f>
        <v>0</v>
      </c>
      <c r="I80" s="19">
        <f>J80-H80</f>
        <v>0</v>
      </c>
      <c r="J80" s="19">
        <f>F80*G80</f>
        <v>0</v>
      </c>
      <c r="K80" s="19">
        <v>0.42</v>
      </c>
      <c r="L80" s="19">
        <f>F80*K80</f>
        <v>65.1</v>
      </c>
      <c r="M80" s="32" t="s">
        <v>358</v>
      </c>
      <c r="N80" s="32" t="s">
        <v>7</v>
      </c>
      <c r="O80" s="19">
        <f>IF(N80="5",I80,0)</f>
        <v>0</v>
      </c>
      <c r="Z80" s="19">
        <f>IF(AD80=0,J80,0)</f>
        <v>0</v>
      </c>
      <c r="AA80" s="19">
        <f>IF(AD80=15,J80,0)</f>
        <v>0</v>
      </c>
      <c r="AB80" s="19">
        <f>IF(AD80=21,J80,0)</f>
        <v>0</v>
      </c>
      <c r="AD80" s="36">
        <v>21</v>
      </c>
      <c r="AE80" s="36">
        <f>G80*0.60427868852459</f>
        <v>0</v>
      </c>
      <c r="AF80" s="36">
        <f>G80*(1-0.60427868852459)</f>
        <v>0</v>
      </c>
      <c r="AM80" s="36">
        <f>F80*AE80</f>
        <v>0</v>
      </c>
      <c r="AN80" s="36">
        <f>F80*AF80</f>
        <v>0</v>
      </c>
      <c r="AO80" s="37" t="s">
        <v>385</v>
      </c>
      <c r="AP80" s="37" t="s">
        <v>399</v>
      </c>
      <c r="AQ80" s="29" t="s">
        <v>405</v>
      </c>
    </row>
    <row r="81" spans="4:6" ht="12.75">
      <c r="D81" s="15" t="s">
        <v>245</v>
      </c>
      <c r="F81" s="20">
        <v>155</v>
      </c>
    </row>
    <row r="82" spans="1:37" ht="12.75">
      <c r="A82" s="5"/>
      <c r="B82" s="13"/>
      <c r="C82" s="13" t="s">
        <v>62</v>
      </c>
      <c r="D82" s="113" t="s">
        <v>246</v>
      </c>
      <c r="E82" s="114"/>
      <c r="F82" s="114"/>
      <c r="G82" s="114"/>
      <c r="H82" s="39">
        <f>SUM(H83:H85)</f>
        <v>0</v>
      </c>
      <c r="I82" s="39">
        <f>SUM(I83:I85)</f>
        <v>0</v>
      </c>
      <c r="J82" s="39">
        <f>H82+I82</f>
        <v>0</v>
      </c>
      <c r="K82" s="29"/>
      <c r="L82" s="39">
        <f>SUM(L83:L85)</f>
        <v>165.703125</v>
      </c>
      <c r="M82" s="29"/>
      <c r="P82" s="39">
        <f>IF(Q82="PR",J82,SUM(O83:O85))</f>
        <v>0</v>
      </c>
      <c r="Q82" s="29" t="s">
        <v>362</v>
      </c>
      <c r="R82" s="39">
        <f>IF(Q82="HS",H82,0)</f>
        <v>0</v>
      </c>
      <c r="S82" s="39">
        <f>IF(Q82="HS",I82-P82,0)</f>
        <v>0</v>
      </c>
      <c r="T82" s="39">
        <f>IF(Q82="PS",H82,0)</f>
        <v>0</v>
      </c>
      <c r="U82" s="39">
        <f>IF(Q82="PS",I82-P82,0)</f>
        <v>0</v>
      </c>
      <c r="V82" s="39">
        <f>IF(Q82="MP",H82,0)</f>
        <v>0</v>
      </c>
      <c r="W82" s="39">
        <f>IF(Q82="MP",I82-P82,0)</f>
        <v>0</v>
      </c>
      <c r="X82" s="39">
        <f>IF(Q82="OM",H82,0)</f>
        <v>0</v>
      </c>
      <c r="Y82" s="29"/>
      <c r="AI82" s="39">
        <f>SUM(Z83:Z85)</f>
        <v>0</v>
      </c>
      <c r="AJ82" s="39">
        <f>SUM(AA83:AA85)</f>
        <v>0</v>
      </c>
      <c r="AK82" s="39">
        <f>SUM(AB83:AB85)</f>
        <v>0</v>
      </c>
    </row>
    <row r="83" spans="1:43" ht="12.75">
      <c r="A83" s="4" t="s">
        <v>33</v>
      </c>
      <c r="B83" s="4"/>
      <c r="C83" s="4" t="s">
        <v>116</v>
      </c>
      <c r="D83" s="4" t="s">
        <v>247</v>
      </c>
      <c r="E83" s="4" t="s">
        <v>336</v>
      </c>
      <c r="F83" s="19">
        <v>176.75</v>
      </c>
      <c r="G83" s="19">
        <v>0</v>
      </c>
      <c r="H83" s="19">
        <f>F83*AE83</f>
        <v>0</v>
      </c>
      <c r="I83" s="19">
        <f>J83-H83</f>
        <v>0</v>
      </c>
      <c r="J83" s="19">
        <f>F83*G83</f>
        <v>0</v>
      </c>
      <c r="K83" s="19">
        <v>0.38625</v>
      </c>
      <c r="L83" s="19">
        <f>F83*K83</f>
        <v>68.2696875</v>
      </c>
      <c r="M83" s="32" t="s">
        <v>358</v>
      </c>
      <c r="N83" s="32" t="s">
        <v>7</v>
      </c>
      <c r="O83" s="19">
        <f>IF(N83="5",I83,0)</f>
        <v>0</v>
      </c>
      <c r="Z83" s="19">
        <f>IF(AD83=0,J83,0)</f>
        <v>0</v>
      </c>
      <c r="AA83" s="19">
        <f>IF(AD83=15,J83,0)</f>
        <v>0</v>
      </c>
      <c r="AB83" s="19">
        <f>IF(AD83=21,J83,0)</f>
        <v>0</v>
      </c>
      <c r="AD83" s="36">
        <v>21</v>
      </c>
      <c r="AE83" s="36">
        <f>G83*0.855785584423201</f>
        <v>0</v>
      </c>
      <c r="AF83" s="36">
        <f>G83*(1-0.855785584423201)</f>
        <v>0</v>
      </c>
      <c r="AM83" s="36">
        <f>F83*AE83</f>
        <v>0</v>
      </c>
      <c r="AN83" s="36">
        <f>F83*AF83</f>
        <v>0</v>
      </c>
      <c r="AO83" s="37" t="s">
        <v>386</v>
      </c>
      <c r="AP83" s="37" t="s">
        <v>400</v>
      </c>
      <c r="AQ83" s="29" t="s">
        <v>405</v>
      </c>
    </row>
    <row r="84" spans="4:6" ht="12.75">
      <c r="D84" s="15" t="s">
        <v>210</v>
      </c>
      <c r="F84" s="20">
        <v>176.75</v>
      </c>
    </row>
    <row r="85" spans="1:43" ht="12.75">
      <c r="A85" s="4" t="s">
        <v>34</v>
      </c>
      <c r="B85" s="4"/>
      <c r="C85" s="4" t="s">
        <v>117</v>
      </c>
      <c r="D85" s="4" t="s">
        <v>248</v>
      </c>
      <c r="E85" s="4" t="s">
        <v>336</v>
      </c>
      <c r="F85" s="19">
        <v>176.75</v>
      </c>
      <c r="G85" s="19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0.55125</v>
      </c>
      <c r="L85" s="19">
        <f>F85*K85</f>
        <v>97.4334375</v>
      </c>
      <c r="M85" s="32" t="s">
        <v>358</v>
      </c>
      <c r="N85" s="32" t="s">
        <v>7</v>
      </c>
      <c r="O85" s="19">
        <f>IF(N85="5",I85,0)</f>
        <v>0</v>
      </c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6">
        <v>21</v>
      </c>
      <c r="AE85" s="36">
        <f>G85*0.889137254901961</f>
        <v>0</v>
      </c>
      <c r="AF85" s="36">
        <f>G85*(1-0.889137254901961)</f>
        <v>0</v>
      </c>
      <c r="AM85" s="36">
        <f>F85*AE85</f>
        <v>0</v>
      </c>
      <c r="AN85" s="36">
        <f>F85*AF85</f>
        <v>0</v>
      </c>
      <c r="AO85" s="37" t="s">
        <v>386</v>
      </c>
      <c r="AP85" s="37" t="s">
        <v>400</v>
      </c>
      <c r="AQ85" s="29" t="s">
        <v>405</v>
      </c>
    </row>
    <row r="86" spans="4:6" ht="12.75">
      <c r="D86" s="15" t="s">
        <v>210</v>
      </c>
      <c r="F86" s="20">
        <v>176.75</v>
      </c>
    </row>
    <row r="87" spans="1:37" ht="12.75">
      <c r="A87" s="5"/>
      <c r="B87" s="13"/>
      <c r="C87" s="13" t="s">
        <v>65</v>
      </c>
      <c r="D87" s="113" t="s">
        <v>249</v>
      </c>
      <c r="E87" s="114"/>
      <c r="F87" s="114"/>
      <c r="G87" s="114"/>
      <c r="H87" s="39">
        <f>SUM(H88:H92)</f>
        <v>0</v>
      </c>
      <c r="I87" s="39">
        <f>SUM(I88:I92)</f>
        <v>0</v>
      </c>
      <c r="J87" s="39">
        <f>H87+I87</f>
        <v>0</v>
      </c>
      <c r="K87" s="29"/>
      <c r="L87" s="39">
        <f>SUM(L88:L92)</f>
        <v>0.81911</v>
      </c>
      <c r="M87" s="29"/>
      <c r="P87" s="39">
        <f>IF(Q87="PR",J87,SUM(O88:O92))</f>
        <v>0</v>
      </c>
      <c r="Q87" s="29" t="s">
        <v>362</v>
      </c>
      <c r="R87" s="39">
        <f>IF(Q87="HS",H87,0)</f>
        <v>0</v>
      </c>
      <c r="S87" s="39">
        <f>IF(Q87="HS",I87-P87,0)</f>
        <v>0</v>
      </c>
      <c r="T87" s="39">
        <f>IF(Q87="PS",H87,0)</f>
        <v>0</v>
      </c>
      <c r="U87" s="39">
        <f>IF(Q87="PS",I87-P87,0)</f>
        <v>0</v>
      </c>
      <c r="V87" s="39">
        <f>IF(Q87="MP",H87,0)</f>
        <v>0</v>
      </c>
      <c r="W87" s="39">
        <f>IF(Q87="MP",I87-P87,0)</f>
        <v>0</v>
      </c>
      <c r="X87" s="39">
        <f>IF(Q87="OM",H87,0)</f>
        <v>0</v>
      </c>
      <c r="Y87" s="29"/>
      <c r="AI87" s="39">
        <f>SUM(Z88:Z92)</f>
        <v>0</v>
      </c>
      <c r="AJ87" s="39">
        <f>SUM(AA88:AA92)</f>
        <v>0</v>
      </c>
      <c r="AK87" s="39">
        <f>SUM(AB88:AB92)</f>
        <v>0</v>
      </c>
    </row>
    <row r="88" spans="1:43" ht="12.75">
      <c r="A88" s="4" t="s">
        <v>35</v>
      </c>
      <c r="B88" s="4"/>
      <c r="C88" s="4" t="s">
        <v>118</v>
      </c>
      <c r="D88" s="4" t="s">
        <v>250</v>
      </c>
      <c r="E88" s="4" t="s">
        <v>339</v>
      </c>
      <c r="F88" s="19">
        <v>6</v>
      </c>
      <c r="G88" s="19">
        <v>0</v>
      </c>
      <c r="H88" s="19">
        <f>F88*AE88</f>
        <v>0</v>
      </c>
      <c r="I88" s="19">
        <f>J88-H88</f>
        <v>0</v>
      </c>
      <c r="J88" s="19">
        <f>F88*G88</f>
        <v>0</v>
      </c>
      <c r="K88" s="19">
        <v>0.00312</v>
      </c>
      <c r="L88" s="19">
        <f>F88*K88</f>
        <v>0.01872</v>
      </c>
      <c r="M88" s="32" t="s">
        <v>358</v>
      </c>
      <c r="N88" s="32" t="s">
        <v>7</v>
      </c>
      <c r="O88" s="19">
        <f>IF(N88="5",I88,0)</f>
        <v>0</v>
      </c>
      <c r="Z88" s="19">
        <f>IF(AD88=0,J88,0)</f>
        <v>0</v>
      </c>
      <c r="AA88" s="19">
        <f>IF(AD88=15,J88,0)</f>
        <v>0</v>
      </c>
      <c r="AB88" s="19">
        <f>IF(AD88=21,J88,0)</f>
        <v>0</v>
      </c>
      <c r="AD88" s="36">
        <v>21</v>
      </c>
      <c r="AE88" s="36">
        <f>G88*0.927</f>
        <v>0</v>
      </c>
      <c r="AF88" s="36">
        <f>G88*(1-0.927)</f>
        <v>0</v>
      </c>
      <c r="AM88" s="36">
        <f>F88*AE88</f>
        <v>0</v>
      </c>
      <c r="AN88" s="36">
        <f>F88*AF88</f>
        <v>0</v>
      </c>
      <c r="AO88" s="37" t="s">
        <v>387</v>
      </c>
      <c r="AP88" s="37" t="s">
        <v>400</v>
      </c>
      <c r="AQ88" s="29" t="s">
        <v>405</v>
      </c>
    </row>
    <row r="89" spans="1:43" ht="12.75">
      <c r="A89" s="4" t="s">
        <v>36</v>
      </c>
      <c r="B89" s="4"/>
      <c r="C89" s="4" t="s">
        <v>119</v>
      </c>
      <c r="D89" s="4" t="s">
        <v>251</v>
      </c>
      <c r="E89" s="4" t="s">
        <v>339</v>
      </c>
      <c r="F89" s="19">
        <v>6</v>
      </c>
      <c r="G89" s="19">
        <v>0</v>
      </c>
      <c r="H89" s="19">
        <f>F89*AE89</f>
        <v>0</v>
      </c>
      <c r="I89" s="19">
        <f>J89-H89</f>
        <v>0</v>
      </c>
      <c r="J89" s="19">
        <f>F89*G89</f>
        <v>0</v>
      </c>
      <c r="K89" s="19">
        <v>0.01717</v>
      </c>
      <c r="L89" s="19">
        <f>F89*K89</f>
        <v>0.10302</v>
      </c>
      <c r="M89" s="32" t="s">
        <v>358</v>
      </c>
      <c r="N89" s="32" t="s">
        <v>7</v>
      </c>
      <c r="O89" s="19">
        <f>IF(N89="5",I89,0)</f>
        <v>0</v>
      </c>
      <c r="Z89" s="19">
        <f>IF(AD89=0,J89,0)</f>
        <v>0</v>
      </c>
      <c r="AA89" s="19">
        <f>IF(AD89=15,J89,0)</f>
        <v>0</v>
      </c>
      <c r="AB89" s="19">
        <f>IF(AD89=21,J89,0)</f>
        <v>0</v>
      </c>
      <c r="AD89" s="36">
        <v>21</v>
      </c>
      <c r="AE89" s="36">
        <f>G89*0.916753246753247</f>
        <v>0</v>
      </c>
      <c r="AF89" s="36">
        <f>G89*(1-0.916753246753247)</f>
        <v>0</v>
      </c>
      <c r="AM89" s="36">
        <f>F89*AE89</f>
        <v>0</v>
      </c>
      <c r="AN89" s="36">
        <f>F89*AF89</f>
        <v>0</v>
      </c>
      <c r="AO89" s="37" t="s">
        <v>387</v>
      </c>
      <c r="AP89" s="37" t="s">
        <v>400</v>
      </c>
      <c r="AQ89" s="29" t="s">
        <v>405</v>
      </c>
    </row>
    <row r="90" spans="1:43" ht="12.75">
      <c r="A90" s="4" t="s">
        <v>37</v>
      </c>
      <c r="B90" s="4"/>
      <c r="C90" s="4" t="s">
        <v>120</v>
      </c>
      <c r="D90" s="4" t="s">
        <v>252</v>
      </c>
      <c r="E90" s="4" t="s">
        <v>339</v>
      </c>
      <c r="F90" s="19">
        <v>5</v>
      </c>
      <c r="G90" s="19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9">
        <v>0.11565</v>
      </c>
      <c r="L90" s="19">
        <f>F90*K90</f>
        <v>0.57825</v>
      </c>
      <c r="M90" s="32" t="s">
        <v>358</v>
      </c>
      <c r="N90" s="32" t="s">
        <v>7</v>
      </c>
      <c r="O90" s="19">
        <f>IF(N90="5",I90,0)</f>
        <v>0</v>
      </c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36">
        <v>21</v>
      </c>
      <c r="AE90" s="36">
        <f>G90*0.414147465437788</f>
        <v>0</v>
      </c>
      <c r="AF90" s="36">
        <f>G90*(1-0.414147465437788)</f>
        <v>0</v>
      </c>
      <c r="AM90" s="36">
        <f>F90*AE90</f>
        <v>0</v>
      </c>
      <c r="AN90" s="36">
        <f>F90*AF90</f>
        <v>0</v>
      </c>
      <c r="AO90" s="37" t="s">
        <v>387</v>
      </c>
      <c r="AP90" s="37" t="s">
        <v>400</v>
      </c>
      <c r="AQ90" s="29" t="s">
        <v>405</v>
      </c>
    </row>
    <row r="91" spans="1:43" ht="12.75">
      <c r="A91" s="6" t="s">
        <v>38</v>
      </c>
      <c r="B91" s="6"/>
      <c r="C91" s="6" t="s">
        <v>121</v>
      </c>
      <c r="D91" s="6" t="s">
        <v>253</v>
      </c>
      <c r="E91" s="6" t="s">
        <v>339</v>
      </c>
      <c r="F91" s="21">
        <v>5</v>
      </c>
      <c r="G91" s="21">
        <v>0</v>
      </c>
      <c r="H91" s="21">
        <f>F91*AE91</f>
        <v>0</v>
      </c>
      <c r="I91" s="21">
        <f>J91-H91</f>
        <v>0</v>
      </c>
      <c r="J91" s="21">
        <f>F91*G91</f>
        <v>0</v>
      </c>
      <c r="K91" s="21">
        <v>0.0236</v>
      </c>
      <c r="L91" s="21">
        <f>F91*K91</f>
        <v>0.118</v>
      </c>
      <c r="M91" s="33" t="s">
        <v>358</v>
      </c>
      <c r="N91" s="33" t="s">
        <v>359</v>
      </c>
      <c r="O91" s="21">
        <f>IF(N91="5",I91,0)</f>
        <v>0</v>
      </c>
      <c r="Z91" s="21">
        <f>IF(AD91=0,J91,0)</f>
        <v>0</v>
      </c>
      <c r="AA91" s="21">
        <f>IF(AD91=15,J91,0)</f>
        <v>0</v>
      </c>
      <c r="AB91" s="21">
        <f>IF(AD91=21,J91,0)</f>
        <v>0</v>
      </c>
      <c r="AD91" s="36">
        <v>21</v>
      </c>
      <c r="AE91" s="36">
        <f>G91*1</f>
        <v>0</v>
      </c>
      <c r="AF91" s="36">
        <f>G91*(1-1)</f>
        <v>0</v>
      </c>
      <c r="AM91" s="36">
        <f>F91*AE91</f>
        <v>0</v>
      </c>
      <c r="AN91" s="36">
        <f>F91*AF91</f>
        <v>0</v>
      </c>
      <c r="AO91" s="37" t="s">
        <v>387</v>
      </c>
      <c r="AP91" s="37" t="s">
        <v>400</v>
      </c>
      <c r="AQ91" s="29" t="s">
        <v>405</v>
      </c>
    </row>
    <row r="92" spans="1:43" ht="12.75">
      <c r="A92" s="4" t="s">
        <v>39</v>
      </c>
      <c r="B92" s="4"/>
      <c r="C92" s="4" t="s">
        <v>122</v>
      </c>
      <c r="D92" s="4" t="s">
        <v>254</v>
      </c>
      <c r="E92" s="4" t="s">
        <v>339</v>
      </c>
      <c r="F92" s="19">
        <v>7</v>
      </c>
      <c r="G92" s="19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9">
        <v>0.00016</v>
      </c>
      <c r="L92" s="19">
        <f>F92*K92</f>
        <v>0.0011200000000000001</v>
      </c>
      <c r="M92" s="32" t="s">
        <v>358</v>
      </c>
      <c r="N92" s="32" t="s">
        <v>7</v>
      </c>
      <c r="O92" s="19">
        <f>IF(N92="5",I92,0)</f>
        <v>0</v>
      </c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6">
        <v>21</v>
      </c>
      <c r="AE92" s="36">
        <f>G92*0.988913601958654</f>
        <v>0</v>
      </c>
      <c r="AF92" s="36">
        <f>G92*(1-0.988913601958654)</f>
        <v>0</v>
      </c>
      <c r="AM92" s="36">
        <f>F92*AE92</f>
        <v>0</v>
      </c>
      <c r="AN92" s="36">
        <f>F92*AF92</f>
        <v>0</v>
      </c>
      <c r="AO92" s="37" t="s">
        <v>387</v>
      </c>
      <c r="AP92" s="37" t="s">
        <v>400</v>
      </c>
      <c r="AQ92" s="29" t="s">
        <v>405</v>
      </c>
    </row>
    <row r="93" spans="1:37" ht="12.75">
      <c r="A93" s="5"/>
      <c r="B93" s="13"/>
      <c r="C93" s="13" t="s">
        <v>68</v>
      </c>
      <c r="D93" s="113" t="s">
        <v>255</v>
      </c>
      <c r="E93" s="114"/>
      <c r="F93" s="114"/>
      <c r="G93" s="114"/>
      <c r="H93" s="39">
        <f>SUM(H94:H94)</f>
        <v>0</v>
      </c>
      <c r="I93" s="39">
        <f>SUM(I94:I94)</f>
        <v>0</v>
      </c>
      <c r="J93" s="39">
        <f>H93+I93</f>
        <v>0</v>
      </c>
      <c r="K93" s="29"/>
      <c r="L93" s="39">
        <f>SUM(L94:L94)</f>
        <v>1.266408</v>
      </c>
      <c r="M93" s="29"/>
      <c r="P93" s="39">
        <f>IF(Q93="PR",J93,SUM(O94:O94))</f>
        <v>0</v>
      </c>
      <c r="Q93" s="29" t="s">
        <v>362</v>
      </c>
      <c r="R93" s="39">
        <f>IF(Q93="HS",H93,0)</f>
        <v>0</v>
      </c>
      <c r="S93" s="39">
        <f>IF(Q93="HS",I93-P93,0)</f>
        <v>0</v>
      </c>
      <c r="T93" s="39">
        <f>IF(Q93="PS",H93,0)</f>
        <v>0</v>
      </c>
      <c r="U93" s="39">
        <f>IF(Q93="PS",I93-P93,0)</f>
        <v>0</v>
      </c>
      <c r="V93" s="39">
        <f>IF(Q93="MP",H93,0)</f>
        <v>0</v>
      </c>
      <c r="W93" s="39">
        <f>IF(Q93="MP",I93-P93,0)</f>
        <v>0</v>
      </c>
      <c r="X93" s="39">
        <f>IF(Q93="OM",H93,0)</f>
        <v>0</v>
      </c>
      <c r="Y93" s="29"/>
      <c r="AI93" s="39">
        <f>SUM(Z94:Z94)</f>
        <v>0</v>
      </c>
      <c r="AJ93" s="39">
        <f>SUM(AA94:AA94)</f>
        <v>0</v>
      </c>
      <c r="AK93" s="39">
        <f>SUM(AB94:AB94)</f>
        <v>0</v>
      </c>
    </row>
    <row r="94" spans="1:43" ht="12.75">
      <c r="A94" s="4" t="s">
        <v>40</v>
      </c>
      <c r="B94" s="4"/>
      <c r="C94" s="4" t="s">
        <v>123</v>
      </c>
      <c r="D94" s="4" t="s">
        <v>256</v>
      </c>
      <c r="E94" s="4" t="s">
        <v>336</v>
      </c>
      <c r="F94" s="19">
        <v>57.2</v>
      </c>
      <c r="G94" s="19">
        <v>0</v>
      </c>
      <c r="H94" s="19">
        <f>F94*AE94</f>
        <v>0</v>
      </c>
      <c r="I94" s="19">
        <f>J94-H94</f>
        <v>0</v>
      </c>
      <c r="J94" s="19">
        <f>F94*G94</f>
        <v>0</v>
      </c>
      <c r="K94" s="19">
        <v>0.02214</v>
      </c>
      <c r="L94" s="19">
        <f>F94*K94</f>
        <v>1.266408</v>
      </c>
      <c r="M94" s="32" t="s">
        <v>358</v>
      </c>
      <c r="N94" s="32" t="s">
        <v>7</v>
      </c>
      <c r="O94" s="19">
        <f>IF(N94="5",I94,0)</f>
        <v>0</v>
      </c>
      <c r="Z94" s="19">
        <f>IF(AD94=0,J94,0)</f>
        <v>0</v>
      </c>
      <c r="AA94" s="19">
        <f>IF(AD94=15,J94,0)</f>
        <v>0</v>
      </c>
      <c r="AB94" s="19">
        <f>IF(AD94=21,J94,0)</f>
        <v>0</v>
      </c>
      <c r="AD94" s="36">
        <v>21</v>
      </c>
      <c r="AE94" s="36">
        <f>G94*0.0526645768025078</f>
        <v>0</v>
      </c>
      <c r="AF94" s="36">
        <f>G94*(1-0.0526645768025078)</f>
        <v>0</v>
      </c>
      <c r="AM94" s="36">
        <f>F94*AE94</f>
        <v>0</v>
      </c>
      <c r="AN94" s="36">
        <f>F94*AF94</f>
        <v>0</v>
      </c>
      <c r="AO94" s="37" t="s">
        <v>388</v>
      </c>
      <c r="AP94" s="37" t="s">
        <v>401</v>
      </c>
      <c r="AQ94" s="29" t="s">
        <v>405</v>
      </c>
    </row>
    <row r="95" spans="4:6" ht="12.75">
      <c r="D95" s="15" t="s">
        <v>257</v>
      </c>
      <c r="F95" s="20">
        <v>57.2</v>
      </c>
    </row>
    <row r="96" spans="1:37" ht="12.75">
      <c r="A96" s="5"/>
      <c r="B96" s="13"/>
      <c r="C96" s="13" t="s">
        <v>124</v>
      </c>
      <c r="D96" s="113" t="s">
        <v>258</v>
      </c>
      <c r="E96" s="114"/>
      <c r="F96" s="114"/>
      <c r="G96" s="114"/>
      <c r="H96" s="39">
        <f>SUM(H97:H104)</f>
        <v>0</v>
      </c>
      <c r="I96" s="39">
        <f>SUM(I97:I104)</f>
        <v>0</v>
      </c>
      <c r="J96" s="39">
        <f>H96+I96</f>
        <v>0</v>
      </c>
      <c r="K96" s="29"/>
      <c r="L96" s="39">
        <f>SUM(L97:L104)</f>
        <v>0.033839999999999995</v>
      </c>
      <c r="M96" s="29"/>
      <c r="P96" s="39">
        <f>IF(Q96="PR",J96,SUM(O97:O104))</f>
        <v>0</v>
      </c>
      <c r="Q96" s="29" t="s">
        <v>363</v>
      </c>
      <c r="R96" s="39">
        <f>IF(Q96="HS",H96,0)</f>
        <v>0</v>
      </c>
      <c r="S96" s="39">
        <f>IF(Q96="HS",I96-P96,0)</f>
        <v>0</v>
      </c>
      <c r="T96" s="39">
        <f>IF(Q96="PS",H96,0)</f>
        <v>0</v>
      </c>
      <c r="U96" s="39">
        <f>IF(Q96="PS",I96-P96,0)</f>
        <v>0</v>
      </c>
      <c r="V96" s="39">
        <f>IF(Q96="MP",H96,0)</f>
        <v>0</v>
      </c>
      <c r="W96" s="39">
        <f>IF(Q96="MP",I96-P96,0)</f>
        <v>0</v>
      </c>
      <c r="X96" s="39">
        <f>IF(Q96="OM",H96,0)</f>
        <v>0</v>
      </c>
      <c r="Y96" s="29"/>
      <c r="AI96" s="39">
        <f>SUM(Z97:Z104)</f>
        <v>0</v>
      </c>
      <c r="AJ96" s="39">
        <f>SUM(AA97:AA104)</f>
        <v>0</v>
      </c>
      <c r="AK96" s="39">
        <f>SUM(AB97:AB104)</f>
        <v>0</v>
      </c>
    </row>
    <row r="97" spans="1:43" ht="12.75">
      <c r="A97" s="4" t="s">
        <v>41</v>
      </c>
      <c r="B97" s="4"/>
      <c r="C97" s="4" t="s">
        <v>125</v>
      </c>
      <c r="D97" s="4" t="s">
        <v>259</v>
      </c>
      <c r="E97" s="4" t="s">
        <v>336</v>
      </c>
      <c r="F97" s="19">
        <v>20</v>
      </c>
      <c r="G97" s="19">
        <v>0</v>
      </c>
      <c r="H97" s="19">
        <f>F97*AE97</f>
        <v>0</v>
      </c>
      <c r="I97" s="19">
        <f>J97-H97</f>
        <v>0</v>
      </c>
      <c r="J97" s="19">
        <f>F97*G97</f>
        <v>0</v>
      </c>
      <c r="K97" s="19">
        <v>0</v>
      </c>
      <c r="L97" s="19">
        <f>F97*K97</f>
        <v>0</v>
      </c>
      <c r="M97" s="32" t="s">
        <v>358</v>
      </c>
      <c r="N97" s="32" t="s">
        <v>7</v>
      </c>
      <c r="O97" s="19">
        <f>IF(N97="5",I97,0)</f>
        <v>0</v>
      </c>
      <c r="Z97" s="19">
        <f>IF(AD97=0,J97,0)</f>
        <v>0</v>
      </c>
      <c r="AA97" s="19">
        <f>IF(AD97=15,J97,0)</f>
        <v>0</v>
      </c>
      <c r="AB97" s="19">
        <f>IF(AD97=21,J97,0)</f>
        <v>0</v>
      </c>
      <c r="AD97" s="36">
        <v>21</v>
      </c>
      <c r="AE97" s="36">
        <f>G97*0</f>
        <v>0</v>
      </c>
      <c r="AF97" s="36">
        <f>G97*(1-0)</f>
        <v>0</v>
      </c>
      <c r="AM97" s="36">
        <f>F97*AE97</f>
        <v>0</v>
      </c>
      <c r="AN97" s="36">
        <f>F97*AF97</f>
        <v>0</v>
      </c>
      <c r="AO97" s="37" t="s">
        <v>389</v>
      </c>
      <c r="AP97" s="37" t="s">
        <v>402</v>
      </c>
      <c r="AQ97" s="29" t="s">
        <v>405</v>
      </c>
    </row>
    <row r="98" spans="1:43" ht="12.75">
      <c r="A98" s="4" t="s">
        <v>42</v>
      </c>
      <c r="B98" s="4"/>
      <c r="C98" s="4" t="s">
        <v>126</v>
      </c>
      <c r="D98" s="4" t="s">
        <v>260</v>
      </c>
      <c r="E98" s="4" t="s">
        <v>336</v>
      </c>
      <c r="F98" s="19">
        <v>20</v>
      </c>
      <c r="G98" s="19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0.00019</v>
      </c>
      <c r="L98" s="19">
        <f>F98*K98</f>
        <v>0.0038000000000000004</v>
      </c>
      <c r="M98" s="32" t="s">
        <v>358</v>
      </c>
      <c r="N98" s="32" t="s">
        <v>7</v>
      </c>
      <c r="O98" s="19">
        <f>IF(N98="5",I98,0)</f>
        <v>0</v>
      </c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6">
        <v>21</v>
      </c>
      <c r="AE98" s="36">
        <f>G98*0.110788381742739</f>
        <v>0</v>
      </c>
      <c r="AF98" s="36">
        <f>G98*(1-0.110788381742739)</f>
        <v>0</v>
      </c>
      <c r="AM98" s="36">
        <f>F98*AE98</f>
        <v>0</v>
      </c>
      <c r="AN98" s="36">
        <f>F98*AF98</f>
        <v>0</v>
      </c>
      <c r="AO98" s="37" t="s">
        <v>389</v>
      </c>
      <c r="AP98" s="37" t="s">
        <v>402</v>
      </c>
      <c r="AQ98" s="29" t="s">
        <v>405</v>
      </c>
    </row>
    <row r="99" spans="1:43" ht="12.75">
      <c r="A99" s="4" t="s">
        <v>43</v>
      </c>
      <c r="B99" s="4"/>
      <c r="C99" s="4" t="s">
        <v>127</v>
      </c>
      <c r="D99" s="4" t="s">
        <v>261</v>
      </c>
      <c r="E99" s="4" t="s">
        <v>338</v>
      </c>
      <c r="F99" s="19">
        <v>20</v>
      </c>
      <c r="G99" s="19">
        <v>0</v>
      </c>
      <c r="H99" s="19">
        <f>F99*AE99</f>
        <v>0</v>
      </c>
      <c r="I99" s="19">
        <f>J99-H99</f>
        <v>0</v>
      </c>
      <c r="J99" s="19">
        <f>F99*G99</f>
        <v>0</v>
      </c>
      <c r="K99" s="19">
        <v>0.00053</v>
      </c>
      <c r="L99" s="19">
        <f>F99*K99</f>
        <v>0.0106</v>
      </c>
      <c r="M99" s="32" t="s">
        <v>358</v>
      </c>
      <c r="N99" s="32" t="s">
        <v>7</v>
      </c>
      <c r="O99" s="19">
        <f>IF(N99="5",I99,0)</f>
        <v>0</v>
      </c>
      <c r="Z99" s="19">
        <f>IF(AD99=0,J99,0)</f>
        <v>0</v>
      </c>
      <c r="AA99" s="19">
        <f>IF(AD99=15,J99,0)</f>
        <v>0</v>
      </c>
      <c r="AB99" s="19">
        <f>IF(AD99=21,J99,0)</f>
        <v>0</v>
      </c>
      <c r="AD99" s="36">
        <v>21</v>
      </c>
      <c r="AE99" s="36">
        <f>G99*0.748939393939394</f>
        <v>0</v>
      </c>
      <c r="AF99" s="36">
        <f>G99*(1-0.748939393939394)</f>
        <v>0</v>
      </c>
      <c r="AM99" s="36">
        <f>F99*AE99</f>
        <v>0</v>
      </c>
      <c r="AN99" s="36">
        <f>F99*AF99</f>
        <v>0</v>
      </c>
      <c r="AO99" s="37" t="s">
        <v>389</v>
      </c>
      <c r="AP99" s="37" t="s">
        <v>402</v>
      </c>
      <c r="AQ99" s="29" t="s">
        <v>405</v>
      </c>
    </row>
    <row r="100" spans="1:43" ht="12.75">
      <c r="A100" s="6" t="s">
        <v>44</v>
      </c>
      <c r="B100" s="6"/>
      <c r="C100" s="6" t="s">
        <v>128</v>
      </c>
      <c r="D100" s="6" t="s">
        <v>262</v>
      </c>
      <c r="E100" s="6" t="s">
        <v>336</v>
      </c>
      <c r="F100" s="21">
        <v>24</v>
      </c>
      <c r="G100" s="21">
        <v>0</v>
      </c>
      <c r="H100" s="21">
        <f>F100*AE100</f>
        <v>0</v>
      </c>
      <c r="I100" s="21">
        <f>J100-H100</f>
        <v>0</v>
      </c>
      <c r="J100" s="21">
        <f>F100*G100</f>
        <v>0</v>
      </c>
      <c r="K100" s="21">
        <v>0.00026</v>
      </c>
      <c r="L100" s="21">
        <f>F100*K100</f>
        <v>0.006239999999999999</v>
      </c>
      <c r="M100" s="33" t="s">
        <v>358</v>
      </c>
      <c r="N100" s="33" t="s">
        <v>359</v>
      </c>
      <c r="O100" s="21">
        <f>IF(N100="5",I100,0)</f>
        <v>0</v>
      </c>
      <c r="Z100" s="21">
        <f>IF(AD100=0,J100,0)</f>
        <v>0</v>
      </c>
      <c r="AA100" s="21">
        <f>IF(AD100=15,J100,0)</f>
        <v>0</v>
      </c>
      <c r="AB100" s="21">
        <f>IF(AD100=21,J100,0)</f>
        <v>0</v>
      </c>
      <c r="AD100" s="36">
        <v>21</v>
      </c>
      <c r="AE100" s="36">
        <f>G100*1</f>
        <v>0</v>
      </c>
      <c r="AF100" s="36">
        <f>G100*(1-1)</f>
        <v>0</v>
      </c>
      <c r="AM100" s="36">
        <f>F100*AE100</f>
        <v>0</v>
      </c>
      <c r="AN100" s="36">
        <f>F100*AF100</f>
        <v>0</v>
      </c>
      <c r="AO100" s="37" t="s">
        <v>389</v>
      </c>
      <c r="AP100" s="37" t="s">
        <v>402</v>
      </c>
      <c r="AQ100" s="29" t="s">
        <v>405</v>
      </c>
    </row>
    <row r="101" spans="4:6" ht="12.75">
      <c r="D101" s="15" t="s">
        <v>263</v>
      </c>
      <c r="F101" s="20">
        <v>24</v>
      </c>
    </row>
    <row r="102" spans="1:43" ht="12.75">
      <c r="A102" s="6" t="s">
        <v>45</v>
      </c>
      <c r="B102" s="6"/>
      <c r="C102" s="6" t="s">
        <v>129</v>
      </c>
      <c r="D102" s="6" t="s">
        <v>264</v>
      </c>
      <c r="E102" s="6" t="s">
        <v>336</v>
      </c>
      <c r="F102" s="21">
        <v>24</v>
      </c>
      <c r="G102" s="21">
        <v>0</v>
      </c>
      <c r="H102" s="21">
        <f>F102*AE102</f>
        <v>0</v>
      </c>
      <c r="I102" s="21">
        <f>J102-H102</f>
        <v>0</v>
      </c>
      <c r="J102" s="21">
        <f>F102*G102</f>
        <v>0</v>
      </c>
      <c r="K102" s="21">
        <v>0.00055</v>
      </c>
      <c r="L102" s="21">
        <f>F102*K102</f>
        <v>0.0132</v>
      </c>
      <c r="M102" s="33" t="s">
        <v>358</v>
      </c>
      <c r="N102" s="33" t="s">
        <v>359</v>
      </c>
      <c r="O102" s="21">
        <f>IF(N102="5",I102,0)</f>
        <v>0</v>
      </c>
      <c r="Z102" s="21">
        <f>IF(AD102=0,J102,0)</f>
        <v>0</v>
      </c>
      <c r="AA102" s="21">
        <f>IF(AD102=15,J102,0)</f>
        <v>0</v>
      </c>
      <c r="AB102" s="21">
        <f>IF(AD102=21,J102,0)</f>
        <v>0</v>
      </c>
      <c r="AD102" s="36">
        <v>21</v>
      </c>
      <c r="AE102" s="36">
        <f>G102*1</f>
        <v>0</v>
      </c>
      <c r="AF102" s="36">
        <f>G102*(1-1)</f>
        <v>0</v>
      </c>
      <c r="AM102" s="36">
        <f>F102*AE102</f>
        <v>0</v>
      </c>
      <c r="AN102" s="36">
        <f>F102*AF102</f>
        <v>0</v>
      </c>
      <c r="AO102" s="37" t="s">
        <v>389</v>
      </c>
      <c r="AP102" s="37" t="s">
        <v>402</v>
      </c>
      <c r="AQ102" s="29" t="s">
        <v>405</v>
      </c>
    </row>
    <row r="103" spans="4:6" ht="12.75">
      <c r="D103" s="15" t="s">
        <v>263</v>
      </c>
      <c r="F103" s="20">
        <v>24</v>
      </c>
    </row>
    <row r="104" spans="1:43" ht="12.75">
      <c r="A104" s="4" t="s">
        <v>46</v>
      </c>
      <c r="B104" s="4"/>
      <c r="C104" s="4" t="s">
        <v>130</v>
      </c>
      <c r="D104" s="4" t="s">
        <v>265</v>
      </c>
      <c r="E104" s="4" t="s">
        <v>340</v>
      </c>
      <c r="F104" s="19">
        <v>3.7</v>
      </c>
      <c r="G104" s="19">
        <v>0</v>
      </c>
      <c r="H104" s="19">
        <f>F104*AE104</f>
        <v>0</v>
      </c>
      <c r="I104" s="19">
        <f>J104-H104</f>
        <v>0</v>
      </c>
      <c r="J104" s="19">
        <f>F104*G104</f>
        <v>0</v>
      </c>
      <c r="K104" s="19">
        <v>0</v>
      </c>
      <c r="L104" s="19">
        <f>F104*K104</f>
        <v>0</v>
      </c>
      <c r="M104" s="32" t="s">
        <v>358</v>
      </c>
      <c r="N104" s="32" t="s">
        <v>11</v>
      </c>
      <c r="O104" s="19">
        <f>IF(N104="5",I104,0)</f>
        <v>0</v>
      </c>
      <c r="Z104" s="19">
        <f>IF(AD104=0,J104,0)</f>
        <v>0</v>
      </c>
      <c r="AA104" s="19">
        <f>IF(AD104=15,J104,0)</f>
        <v>0</v>
      </c>
      <c r="AB104" s="19">
        <f>IF(AD104=21,J104,0)</f>
        <v>0</v>
      </c>
      <c r="AD104" s="36">
        <v>21</v>
      </c>
      <c r="AE104" s="36">
        <f>G104*0</f>
        <v>0</v>
      </c>
      <c r="AF104" s="36">
        <f>G104*(1-0)</f>
        <v>0</v>
      </c>
      <c r="AM104" s="36">
        <f>F104*AE104</f>
        <v>0</v>
      </c>
      <c r="AN104" s="36">
        <f>F104*AF104</f>
        <v>0</v>
      </c>
      <c r="AO104" s="37" t="s">
        <v>389</v>
      </c>
      <c r="AP104" s="37" t="s">
        <v>402</v>
      </c>
      <c r="AQ104" s="29" t="s">
        <v>405</v>
      </c>
    </row>
    <row r="105" spans="1:37" ht="12.75">
      <c r="A105" s="5"/>
      <c r="B105" s="13"/>
      <c r="C105" s="13" t="s">
        <v>131</v>
      </c>
      <c r="D105" s="113" t="s">
        <v>266</v>
      </c>
      <c r="E105" s="114"/>
      <c r="F105" s="114"/>
      <c r="G105" s="114"/>
      <c r="H105" s="39">
        <f>SUM(H106:H122)</f>
        <v>0</v>
      </c>
      <c r="I105" s="39">
        <f>SUM(I106:I122)</f>
        <v>0</v>
      </c>
      <c r="J105" s="39">
        <f>H105+I105</f>
        <v>0</v>
      </c>
      <c r="K105" s="29"/>
      <c r="L105" s="39">
        <f>SUM(L106:L122)</f>
        <v>0.025539999999999997</v>
      </c>
      <c r="M105" s="29"/>
      <c r="P105" s="39">
        <f>IF(Q105="PR",J105,SUM(O106:O122))</f>
        <v>0</v>
      </c>
      <c r="Q105" s="29" t="s">
        <v>362</v>
      </c>
      <c r="R105" s="39">
        <f>IF(Q105="HS",H105,0)</f>
        <v>0</v>
      </c>
      <c r="S105" s="39">
        <f>IF(Q105="HS",I105-P105,0)</f>
        <v>0</v>
      </c>
      <c r="T105" s="39">
        <f>IF(Q105="PS",H105,0)</f>
        <v>0</v>
      </c>
      <c r="U105" s="39">
        <f>IF(Q105="PS",I105-P105,0)</f>
        <v>0</v>
      </c>
      <c r="V105" s="39">
        <f>IF(Q105="MP",H105,0)</f>
        <v>0</v>
      </c>
      <c r="W105" s="39">
        <f>IF(Q105="MP",I105-P105,0)</f>
        <v>0</v>
      </c>
      <c r="X105" s="39">
        <f>IF(Q105="OM",H105,0)</f>
        <v>0</v>
      </c>
      <c r="Y105" s="29"/>
      <c r="AI105" s="39">
        <f>SUM(Z106:Z122)</f>
        <v>0</v>
      </c>
      <c r="AJ105" s="39">
        <f>SUM(AA106:AA122)</f>
        <v>0</v>
      </c>
      <c r="AK105" s="39">
        <f>SUM(AB106:AB122)</f>
        <v>0</v>
      </c>
    </row>
    <row r="106" spans="1:43" ht="12.75">
      <c r="A106" s="6" t="s">
        <v>47</v>
      </c>
      <c r="B106" s="6"/>
      <c r="C106" s="6" t="s">
        <v>132</v>
      </c>
      <c r="D106" s="6" t="s">
        <v>267</v>
      </c>
      <c r="E106" s="6" t="s">
        <v>339</v>
      </c>
      <c r="F106" s="21">
        <v>6</v>
      </c>
      <c r="G106" s="21">
        <v>0</v>
      </c>
      <c r="H106" s="21">
        <f>F106*AE106</f>
        <v>0</v>
      </c>
      <c r="I106" s="21">
        <f>J106-H106</f>
        <v>0</v>
      </c>
      <c r="J106" s="21">
        <f>F106*G106</f>
        <v>0</v>
      </c>
      <c r="K106" s="21">
        <v>0.0017</v>
      </c>
      <c r="L106" s="21">
        <f>F106*K106</f>
        <v>0.010199999999999999</v>
      </c>
      <c r="M106" s="33" t="s">
        <v>358</v>
      </c>
      <c r="N106" s="33" t="s">
        <v>359</v>
      </c>
      <c r="O106" s="21">
        <f>IF(N106="5",I106,0)</f>
        <v>0</v>
      </c>
      <c r="Z106" s="21">
        <f>IF(AD106=0,J106,0)</f>
        <v>0</v>
      </c>
      <c r="AA106" s="21">
        <f>IF(AD106=15,J106,0)</f>
        <v>0</v>
      </c>
      <c r="AB106" s="21">
        <f>IF(AD106=21,J106,0)</f>
        <v>0</v>
      </c>
      <c r="AD106" s="36">
        <v>21</v>
      </c>
      <c r="AE106" s="36">
        <f>G106*1</f>
        <v>0</v>
      </c>
      <c r="AF106" s="36">
        <f>G106*(1-1)</f>
        <v>0</v>
      </c>
      <c r="AM106" s="36">
        <f>F106*AE106</f>
        <v>0</v>
      </c>
      <c r="AN106" s="36">
        <f>F106*AF106</f>
        <v>0</v>
      </c>
      <c r="AO106" s="37" t="s">
        <v>390</v>
      </c>
      <c r="AP106" s="37" t="s">
        <v>403</v>
      </c>
      <c r="AQ106" s="29" t="s">
        <v>405</v>
      </c>
    </row>
    <row r="107" spans="1:43" ht="12.75">
      <c r="A107" s="4" t="s">
        <v>48</v>
      </c>
      <c r="B107" s="4"/>
      <c r="C107" s="4" t="s">
        <v>133</v>
      </c>
      <c r="D107" s="4" t="s">
        <v>268</v>
      </c>
      <c r="E107" s="4" t="s">
        <v>338</v>
      </c>
      <c r="F107" s="19">
        <v>6</v>
      </c>
      <c r="G107" s="19">
        <v>0</v>
      </c>
      <c r="H107" s="19">
        <f>F107*AE107</f>
        <v>0</v>
      </c>
      <c r="I107" s="19">
        <f>J107-H107</f>
        <v>0</v>
      </c>
      <c r="J107" s="19">
        <f>F107*G107</f>
        <v>0</v>
      </c>
      <c r="K107" s="19">
        <v>0</v>
      </c>
      <c r="L107" s="19">
        <f>F107*K107</f>
        <v>0</v>
      </c>
      <c r="M107" s="32" t="s">
        <v>358</v>
      </c>
      <c r="N107" s="32" t="s">
        <v>7</v>
      </c>
      <c r="O107" s="19">
        <f>IF(N107="5",I107,0)</f>
        <v>0</v>
      </c>
      <c r="Z107" s="19">
        <f>IF(AD107=0,J107,0)</f>
        <v>0</v>
      </c>
      <c r="AA107" s="19">
        <f>IF(AD107=15,J107,0)</f>
        <v>0</v>
      </c>
      <c r="AB107" s="19">
        <f>IF(AD107=21,J107,0)</f>
        <v>0</v>
      </c>
      <c r="AD107" s="36">
        <v>21</v>
      </c>
      <c r="AE107" s="36">
        <f>G107*0.00590841949778434</f>
        <v>0</v>
      </c>
      <c r="AF107" s="36">
        <f>G107*(1-0.00590841949778434)</f>
        <v>0</v>
      </c>
      <c r="AM107" s="36">
        <f>F107*AE107</f>
        <v>0</v>
      </c>
      <c r="AN107" s="36">
        <f>F107*AF107</f>
        <v>0</v>
      </c>
      <c r="AO107" s="37" t="s">
        <v>390</v>
      </c>
      <c r="AP107" s="37" t="s">
        <v>403</v>
      </c>
      <c r="AQ107" s="29" t="s">
        <v>405</v>
      </c>
    </row>
    <row r="108" spans="4:6" ht="12.75">
      <c r="D108" s="15" t="s">
        <v>269</v>
      </c>
      <c r="F108" s="20">
        <v>6</v>
      </c>
    </row>
    <row r="109" spans="1:43" ht="12.75">
      <c r="A109" s="4" t="s">
        <v>49</v>
      </c>
      <c r="B109" s="4"/>
      <c r="C109" s="4" t="s">
        <v>134</v>
      </c>
      <c r="D109" s="4" t="s">
        <v>270</v>
      </c>
      <c r="E109" s="4" t="s">
        <v>339</v>
      </c>
      <c r="F109" s="19">
        <v>4</v>
      </c>
      <c r="G109" s="19">
        <v>0</v>
      </c>
      <c r="H109" s="19">
        <f>F109*AE109</f>
        <v>0</v>
      </c>
      <c r="I109" s="19">
        <f>J109-H109</f>
        <v>0</v>
      </c>
      <c r="J109" s="19">
        <f>F109*G109</f>
        <v>0</v>
      </c>
      <c r="K109" s="19">
        <v>3E-05</v>
      </c>
      <c r="L109" s="19">
        <f>F109*K109</f>
        <v>0.00012</v>
      </c>
      <c r="M109" s="32" t="s">
        <v>358</v>
      </c>
      <c r="N109" s="32" t="s">
        <v>7</v>
      </c>
      <c r="O109" s="19">
        <f>IF(N109="5",I109,0)</f>
        <v>0</v>
      </c>
      <c r="Z109" s="19">
        <f>IF(AD109=0,J109,0)</f>
        <v>0</v>
      </c>
      <c r="AA109" s="19">
        <f>IF(AD109=15,J109,0)</f>
        <v>0</v>
      </c>
      <c r="AB109" s="19">
        <f>IF(AD109=21,J109,0)</f>
        <v>0</v>
      </c>
      <c r="AD109" s="36">
        <v>21</v>
      </c>
      <c r="AE109" s="36">
        <f>G109*0.00795784492956232</f>
        <v>0</v>
      </c>
      <c r="AF109" s="36">
        <f>G109*(1-0.00795784492956232)</f>
        <v>0</v>
      </c>
      <c r="AM109" s="36">
        <f>F109*AE109</f>
        <v>0</v>
      </c>
      <c r="AN109" s="36">
        <f>F109*AF109</f>
        <v>0</v>
      </c>
      <c r="AO109" s="37" t="s">
        <v>390</v>
      </c>
      <c r="AP109" s="37" t="s">
        <v>403</v>
      </c>
      <c r="AQ109" s="29" t="s">
        <v>405</v>
      </c>
    </row>
    <row r="110" spans="1:43" ht="12.75">
      <c r="A110" s="4" t="s">
        <v>50</v>
      </c>
      <c r="B110" s="4"/>
      <c r="C110" s="4" t="s">
        <v>135</v>
      </c>
      <c r="D110" s="4" t="s">
        <v>271</v>
      </c>
      <c r="E110" s="4" t="s">
        <v>339</v>
      </c>
      <c r="F110" s="19">
        <v>11</v>
      </c>
      <c r="G110" s="19">
        <v>0</v>
      </c>
      <c r="H110" s="19">
        <f>F110*AE110</f>
        <v>0</v>
      </c>
      <c r="I110" s="19">
        <f>J110-H110</f>
        <v>0</v>
      </c>
      <c r="J110" s="19">
        <f>F110*G110</f>
        <v>0</v>
      </c>
      <c r="K110" s="19">
        <v>1E-05</v>
      </c>
      <c r="L110" s="19">
        <f>F110*K110</f>
        <v>0.00011</v>
      </c>
      <c r="M110" s="32" t="s">
        <v>358</v>
      </c>
      <c r="N110" s="32" t="s">
        <v>7</v>
      </c>
      <c r="O110" s="19">
        <f>IF(N110="5",I110,0)</f>
        <v>0</v>
      </c>
      <c r="Z110" s="19">
        <f>IF(AD110=0,J110,0)</f>
        <v>0</v>
      </c>
      <c r="AA110" s="19">
        <f>IF(AD110=15,J110,0)</f>
        <v>0</v>
      </c>
      <c r="AB110" s="19">
        <f>IF(AD110=21,J110,0)</f>
        <v>0</v>
      </c>
      <c r="AD110" s="36">
        <v>21</v>
      </c>
      <c r="AE110" s="36">
        <f>G110*0.00697119794533113</f>
        <v>0</v>
      </c>
      <c r="AF110" s="36">
        <f>G110*(1-0.00697119794533113)</f>
        <v>0</v>
      </c>
      <c r="AM110" s="36">
        <f>F110*AE110</f>
        <v>0</v>
      </c>
      <c r="AN110" s="36">
        <f>F110*AF110</f>
        <v>0</v>
      </c>
      <c r="AO110" s="37" t="s">
        <v>390</v>
      </c>
      <c r="AP110" s="37" t="s">
        <v>403</v>
      </c>
      <c r="AQ110" s="29" t="s">
        <v>405</v>
      </c>
    </row>
    <row r="111" spans="4:6" ht="12.75">
      <c r="D111" s="15" t="s">
        <v>272</v>
      </c>
      <c r="F111" s="20">
        <v>11</v>
      </c>
    </row>
    <row r="112" spans="1:43" ht="12.75">
      <c r="A112" s="4" t="s">
        <v>51</v>
      </c>
      <c r="B112" s="4"/>
      <c r="C112" s="4" t="s">
        <v>136</v>
      </c>
      <c r="D112" s="4" t="s">
        <v>273</v>
      </c>
      <c r="E112" s="4" t="s">
        <v>339</v>
      </c>
      <c r="F112" s="19">
        <v>6</v>
      </c>
      <c r="G112" s="19">
        <v>0</v>
      </c>
      <c r="H112" s="19">
        <f>F112*AE112</f>
        <v>0</v>
      </c>
      <c r="I112" s="19">
        <f>J112-H112</f>
        <v>0</v>
      </c>
      <c r="J112" s="19">
        <f>F112*G112</f>
        <v>0</v>
      </c>
      <c r="K112" s="19">
        <v>3E-05</v>
      </c>
      <c r="L112" s="19">
        <f>F112*K112</f>
        <v>0.00018</v>
      </c>
      <c r="M112" s="32" t="s">
        <v>358</v>
      </c>
      <c r="N112" s="32" t="s">
        <v>7</v>
      </c>
      <c r="O112" s="19">
        <f>IF(N112="5",I112,0)</f>
        <v>0</v>
      </c>
      <c r="Z112" s="19">
        <f>IF(AD112=0,J112,0)</f>
        <v>0</v>
      </c>
      <c r="AA112" s="19">
        <f>IF(AD112=15,J112,0)</f>
        <v>0</v>
      </c>
      <c r="AB112" s="19">
        <f>IF(AD112=21,J112,0)</f>
        <v>0</v>
      </c>
      <c r="AD112" s="36">
        <v>21</v>
      </c>
      <c r="AE112" s="36">
        <f>G112*0.00887891501609913</f>
        <v>0</v>
      </c>
      <c r="AF112" s="36">
        <f>G112*(1-0.00887891501609913)</f>
        <v>0</v>
      </c>
      <c r="AM112" s="36">
        <f>F112*AE112</f>
        <v>0</v>
      </c>
      <c r="AN112" s="36">
        <f>F112*AF112</f>
        <v>0</v>
      </c>
      <c r="AO112" s="37" t="s">
        <v>390</v>
      </c>
      <c r="AP112" s="37" t="s">
        <v>403</v>
      </c>
      <c r="AQ112" s="29" t="s">
        <v>405</v>
      </c>
    </row>
    <row r="113" spans="4:6" ht="12.75">
      <c r="D113" s="15" t="s">
        <v>274</v>
      </c>
      <c r="F113" s="20">
        <v>6</v>
      </c>
    </row>
    <row r="114" spans="1:43" ht="12.75">
      <c r="A114" s="6" t="s">
        <v>52</v>
      </c>
      <c r="B114" s="6"/>
      <c r="C114" s="6" t="s">
        <v>137</v>
      </c>
      <c r="D114" s="6" t="s">
        <v>275</v>
      </c>
      <c r="E114" s="6" t="s">
        <v>339</v>
      </c>
      <c r="F114" s="21">
        <v>3</v>
      </c>
      <c r="G114" s="21">
        <v>0</v>
      </c>
      <c r="H114" s="21">
        <f aca="true" t="shared" si="0" ref="H114:H122">F114*AE114</f>
        <v>0</v>
      </c>
      <c r="I114" s="21">
        <f aca="true" t="shared" si="1" ref="I114:I122">J114-H114</f>
        <v>0</v>
      </c>
      <c r="J114" s="21">
        <f aca="true" t="shared" si="2" ref="J114:J122">F114*G114</f>
        <v>0</v>
      </c>
      <c r="K114" s="21">
        <v>0.00123</v>
      </c>
      <c r="L114" s="21">
        <f aca="true" t="shared" si="3" ref="L114:L122">F114*K114</f>
        <v>0.0036899999999999997</v>
      </c>
      <c r="M114" s="33" t="s">
        <v>358</v>
      </c>
      <c r="N114" s="33" t="s">
        <v>359</v>
      </c>
      <c r="O114" s="21">
        <f aca="true" t="shared" si="4" ref="O114:O122">IF(N114="5",I114,0)</f>
        <v>0</v>
      </c>
      <c r="Z114" s="21">
        <f aca="true" t="shared" si="5" ref="Z114:Z122">IF(AD114=0,J114,0)</f>
        <v>0</v>
      </c>
      <c r="AA114" s="21">
        <f aca="true" t="shared" si="6" ref="AA114:AA122">IF(AD114=15,J114,0)</f>
        <v>0</v>
      </c>
      <c r="AB114" s="21">
        <f aca="true" t="shared" si="7" ref="AB114:AB122">IF(AD114=21,J114,0)</f>
        <v>0</v>
      </c>
      <c r="AD114" s="36">
        <v>21</v>
      </c>
      <c r="AE114" s="36">
        <f aca="true" t="shared" si="8" ref="AE114:AE122">G114*1</f>
        <v>0</v>
      </c>
      <c r="AF114" s="36">
        <f aca="true" t="shared" si="9" ref="AF114:AF122">G114*(1-1)</f>
        <v>0</v>
      </c>
      <c r="AM114" s="36">
        <f aca="true" t="shared" si="10" ref="AM114:AM122">F114*AE114</f>
        <v>0</v>
      </c>
      <c r="AN114" s="36">
        <f aca="true" t="shared" si="11" ref="AN114:AN122">F114*AF114</f>
        <v>0</v>
      </c>
      <c r="AO114" s="37" t="s">
        <v>390</v>
      </c>
      <c r="AP114" s="37" t="s">
        <v>403</v>
      </c>
      <c r="AQ114" s="29" t="s">
        <v>405</v>
      </c>
    </row>
    <row r="115" spans="1:43" ht="12.75">
      <c r="A115" s="6" t="s">
        <v>53</v>
      </c>
      <c r="B115" s="6"/>
      <c r="C115" s="6" t="s">
        <v>138</v>
      </c>
      <c r="D115" s="6" t="s">
        <v>276</v>
      </c>
      <c r="E115" s="6" t="s">
        <v>339</v>
      </c>
      <c r="F115" s="21">
        <v>3</v>
      </c>
      <c r="G115" s="21">
        <v>0</v>
      </c>
      <c r="H115" s="21">
        <f t="shared" si="0"/>
        <v>0</v>
      </c>
      <c r="I115" s="21">
        <f t="shared" si="1"/>
        <v>0</v>
      </c>
      <c r="J115" s="21">
        <f t="shared" si="2"/>
        <v>0</v>
      </c>
      <c r="K115" s="21">
        <v>0.00115</v>
      </c>
      <c r="L115" s="21">
        <f t="shared" si="3"/>
        <v>0.00345</v>
      </c>
      <c r="M115" s="33" t="s">
        <v>358</v>
      </c>
      <c r="N115" s="33" t="s">
        <v>359</v>
      </c>
      <c r="O115" s="21">
        <f t="shared" si="4"/>
        <v>0</v>
      </c>
      <c r="Z115" s="21">
        <f t="shared" si="5"/>
        <v>0</v>
      </c>
      <c r="AA115" s="21">
        <f t="shared" si="6"/>
        <v>0</v>
      </c>
      <c r="AB115" s="21">
        <f t="shared" si="7"/>
        <v>0</v>
      </c>
      <c r="AD115" s="36">
        <v>21</v>
      </c>
      <c r="AE115" s="36">
        <f t="shared" si="8"/>
        <v>0</v>
      </c>
      <c r="AF115" s="36">
        <f t="shared" si="9"/>
        <v>0</v>
      </c>
      <c r="AM115" s="36">
        <f t="shared" si="10"/>
        <v>0</v>
      </c>
      <c r="AN115" s="36">
        <f t="shared" si="11"/>
        <v>0</v>
      </c>
      <c r="AO115" s="37" t="s">
        <v>390</v>
      </c>
      <c r="AP115" s="37" t="s">
        <v>403</v>
      </c>
      <c r="AQ115" s="29" t="s">
        <v>405</v>
      </c>
    </row>
    <row r="116" spans="1:43" ht="12.75">
      <c r="A116" s="6" t="s">
        <v>54</v>
      </c>
      <c r="B116" s="6"/>
      <c r="C116" s="6" t="s">
        <v>139</v>
      </c>
      <c r="D116" s="6" t="s">
        <v>277</v>
      </c>
      <c r="E116" s="6" t="s">
        <v>339</v>
      </c>
      <c r="F116" s="21">
        <v>1</v>
      </c>
      <c r="G116" s="21">
        <v>0</v>
      </c>
      <c r="H116" s="21">
        <f t="shared" si="0"/>
        <v>0</v>
      </c>
      <c r="I116" s="21">
        <f t="shared" si="1"/>
        <v>0</v>
      </c>
      <c r="J116" s="21">
        <f t="shared" si="2"/>
        <v>0</v>
      </c>
      <c r="K116" s="21">
        <v>0.00066</v>
      </c>
      <c r="L116" s="21">
        <f t="shared" si="3"/>
        <v>0.00066</v>
      </c>
      <c r="M116" s="33" t="s">
        <v>358</v>
      </c>
      <c r="N116" s="33" t="s">
        <v>359</v>
      </c>
      <c r="O116" s="21">
        <f t="shared" si="4"/>
        <v>0</v>
      </c>
      <c r="Z116" s="21">
        <f t="shared" si="5"/>
        <v>0</v>
      </c>
      <c r="AA116" s="21">
        <f t="shared" si="6"/>
        <v>0</v>
      </c>
      <c r="AB116" s="21">
        <f t="shared" si="7"/>
        <v>0</v>
      </c>
      <c r="AD116" s="36">
        <v>21</v>
      </c>
      <c r="AE116" s="36">
        <f t="shared" si="8"/>
        <v>0</v>
      </c>
      <c r="AF116" s="36">
        <f t="shared" si="9"/>
        <v>0</v>
      </c>
      <c r="AM116" s="36">
        <f t="shared" si="10"/>
        <v>0</v>
      </c>
      <c r="AN116" s="36">
        <f t="shared" si="11"/>
        <v>0</v>
      </c>
      <c r="AO116" s="37" t="s">
        <v>390</v>
      </c>
      <c r="AP116" s="37" t="s">
        <v>403</v>
      </c>
      <c r="AQ116" s="29" t="s">
        <v>405</v>
      </c>
    </row>
    <row r="117" spans="1:43" ht="12.75">
      <c r="A117" s="6" t="s">
        <v>55</v>
      </c>
      <c r="B117" s="6"/>
      <c r="C117" s="6" t="s">
        <v>140</v>
      </c>
      <c r="D117" s="6" t="s">
        <v>278</v>
      </c>
      <c r="E117" s="6" t="s">
        <v>339</v>
      </c>
      <c r="F117" s="21">
        <v>2</v>
      </c>
      <c r="G117" s="21">
        <v>0</v>
      </c>
      <c r="H117" s="21">
        <f t="shared" si="0"/>
        <v>0</v>
      </c>
      <c r="I117" s="21">
        <f t="shared" si="1"/>
        <v>0</v>
      </c>
      <c r="J117" s="21">
        <f t="shared" si="2"/>
        <v>0</v>
      </c>
      <c r="K117" s="21">
        <v>0.00064</v>
      </c>
      <c r="L117" s="21">
        <f t="shared" si="3"/>
        <v>0.00128</v>
      </c>
      <c r="M117" s="33" t="s">
        <v>358</v>
      </c>
      <c r="N117" s="33" t="s">
        <v>359</v>
      </c>
      <c r="O117" s="21">
        <f t="shared" si="4"/>
        <v>0</v>
      </c>
      <c r="Z117" s="21">
        <f t="shared" si="5"/>
        <v>0</v>
      </c>
      <c r="AA117" s="21">
        <f t="shared" si="6"/>
        <v>0</v>
      </c>
      <c r="AB117" s="21">
        <f t="shared" si="7"/>
        <v>0</v>
      </c>
      <c r="AD117" s="36">
        <v>21</v>
      </c>
      <c r="AE117" s="36">
        <f t="shared" si="8"/>
        <v>0</v>
      </c>
      <c r="AF117" s="36">
        <f t="shared" si="9"/>
        <v>0</v>
      </c>
      <c r="AM117" s="36">
        <f t="shared" si="10"/>
        <v>0</v>
      </c>
      <c r="AN117" s="36">
        <f t="shared" si="11"/>
        <v>0</v>
      </c>
      <c r="AO117" s="37" t="s">
        <v>390</v>
      </c>
      <c r="AP117" s="37" t="s">
        <v>403</v>
      </c>
      <c r="AQ117" s="29" t="s">
        <v>405</v>
      </c>
    </row>
    <row r="118" spans="1:43" ht="12.75">
      <c r="A118" s="6" t="s">
        <v>56</v>
      </c>
      <c r="B118" s="6"/>
      <c r="C118" s="6" t="s">
        <v>141</v>
      </c>
      <c r="D118" s="6" t="s">
        <v>279</v>
      </c>
      <c r="E118" s="6" t="s">
        <v>339</v>
      </c>
      <c r="F118" s="21">
        <v>1</v>
      </c>
      <c r="G118" s="21">
        <v>0</v>
      </c>
      <c r="H118" s="21">
        <f t="shared" si="0"/>
        <v>0</v>
      </c>
      <c r="I118" s="21">
        <f t="shared" si="1"/>
        <v>0</v>
      </c>
      <c r="J118" s="21">
        <f t="shared" si="2"/>
        <v>0</v>
      </c>
      <c r="K118" s="21">
        <v>0.00054</v>
      </c>
      <c r="L118" s="21">
        <f t="shared" si="3"/>
        <v>0.00054</v>
      </c>
      <c r="M118" s="33" t="s">
        <v>358</v>
      </c>
      <c r="N118" s="33" t="s">
        <v>359</v>
      </c>
      <c r="O118" s="21">
        <f t="shared" si="4"/>
        <v>0</v>
      </c>
      <c r="Z118" s="21">
        <f t="shared" si="5"/>
        <v>0</v>
      </c>
      <c r="AA118" s="21">
        <f t="shared" si="6"/>
        <v>0</v>
      </c>
      <c r="AB118" s="21">
        <f t="shared" si="7"/>
        <v>0</v>
      </c>
      <c r="AD118" s="36">
        <v>21</v>
      </c>
      <c r="AE118" s="36">
        <f t="shared" si="8"/>
        <v>0</v>
      </c>
      <c r="AF118" s="36">
        <f t="shared" si="9"/>
        <v>0</v>
      </c>
      <c r="AM118" s="36">
        <f t="shared" si="10"/>
        <v>0</v>
      </c>
      <c r="AN118" s="36">
        <f t="shared" si="11"/>
        <v>0</v>
      </c>
      <c r="AO118" s="37" t="s">
        <v>390</v>
      </c>
      <c r="AP118" s="37" t="s">
        <v>403</v>
      </c>
      <c r="AQ118" s="29" t="s">
        <v>405</v>
      </c>
    </row>
    <row r="119" spans="1:43" ht="12.75">
      <c r="A119" s="6" t="s">
        <v>57</v>
      </c>
      <c r="B119" s="6"/>
      <c r="C119" s="6" t="s">
        <v>142</v>
      </c>
      <c r="D119" s="6" t="s">
        <v>280</v>
      </c>
      <c r="E119" s="6" t="s">
        <v>339</v>
      </c>
      <c r="F119" s="21">
        <v>3</v>
      </c>
      <c r="G119" s="21">
        <v>0</v>
      </c>
      <c r="H119" s="21">
        <f t="shared" si="0"/>
        <v>0</v>
      </c>
      <c r="I119" s="21">
        <f t="shared" si="1"/>
        <v>0</v>
      </c>
      <c r="J119" s="21">
        <f t="shared" si="2"/>
        <v>0</v>
      </c>
      <c r="K119" s="21">
        <v>0.00038</v>
      </c>
      <c r="L119" s="21">
        <f t="shared" si="3"/>
        <v>0.00114</v>
      </c>
      <c r="M119" s="33" t="s">
        <v>358</v>
      </c>
      <c r="N119" s="33" t="s">
        <v>359</v>
      </c>
      <c r="O119" s="21">
        <f t="shared" si="4"/>
        <v>0</v>
      </c>
      <c r="Z119" s="21">
        <f t="shared" si="5"/>
        <v>0</v>
      </c>
      <c r="AA119" s="21">
        <f t="shared" si="6"/>
        <v>0</v>
      </c>
      <c r="AB119" s="21">
        <f t="shared" si="7"/>
        <v>0</v>
      </c>
      <c r="AD119" s="36">
        <v>21</v>
      </c>
      <c r="AE119" s="36">
        <f t="shared" si="8"/>
        <v>0</v>
      </c>
      <c r="AF119" s="36">
        <f t="shared" si="9"/>
        <v>0</v>
      </c>
      <c r="AM119" s="36">
        <f t="shared" si="10"/>
        <v>0</v>
      </c>
      <c r="AN119" s="36">
        <f t="shared" si="11"/>
        <v>0</v>
      </c>
      <c r="AO119" s="37" t="s">
        <v>390</v>
      </c>
      <c r="AP119" s="37" t="s">
        <v>403</v>
      </c>
      <c r="AQ119" s="29" t="s">
        <v>405</v>
      </c>
    </row>
    <row r="120" spans="1:43" ht="12.75">
      <c r="A120" s="6" t="s">
        <v>58</v>
      </c>
      <c r="B120" s="6"/>
      <c r="C120" s="6" t="s">
        <v>143</v>
      </c>
      <c r="D120" s="6" t="s">
        <v>281</v>
      </c>
      <c r="E120" s="6" t="s">
        <v>339</v>
      </c>
      <c r="F120" s="21">
        <v>3</v>
      </c>
      <c r="G120" s="21">
        <v>0</v>
      </c>
      <c r="H120" s="21">
        <f t="shared" si="0"/>
        <v>0</v>
      </c>
      <c r="I120" s="21">
        <f t="shared" si="1"/>
        <v>0</v>
      </c>
      <c r="J120" s="21">
        <f t="shared" si="2"/>
        <v>0</v>
      </c>
      <c r="K120" s="21">
        <v>0.00032</v>
      </c>
      <c r="L120" s="21">
        <f t="shared" si="3"/>
        <v>0.0009600000000000001</v>
      </c>
      <c r="M120" s="33" t="s">
        <v>358</v>
      </c>
      <c r="N120" s="33" t="s">
        <v>359</v>
      </c>
      <c r="O120" s="21">
        <f t="shared" si="4"/>
        <v>0</v>
      </c>
      <c r="Z120" s="21">
        <f t="shared" si="5"/>
        <v>0</v>
      </c>
      <c r="AA120" s="21">
        <f t="shared" si="6"/>
        <v>0</v>
      </c>
      <c r="AB120" s="21">
        <f t="shared" si="7"/>
        <v>0</v>
      </c>
      <c r="AD120" s="36">
        <v>21</v>
      </c>
      <c r="AE120" s="36">
        <f t="shared" si="8"/>
        <v>0</v>
      </c>
      <c r="AF120" s="36">
        <f t="shared" si="9"/>
        <v>0</v>
      </c>
      <c r="AM120" s="36">
        <f t="shared" si="10"/>
        <v>0</v>
      </c>
      <c r="AN120" s="36">
        <f t="shared" si="11"/>
        <v>0</v>
      </c>
      <c r="AO120" s="37" t="s">
        <v>390</v>
      </c>
      <c r="AP120" s="37" t="s">
        <v>403</v>
      </c>
      <c r="AQ120" s="29" t="s">
        <v>405</v>
      </c>
    </row>
    <row r="121" spans="1:43" ht="12.75">
      <c r="A121" s="6" t="s">
        <v>59</v>
      </c>
      <c r="B121" s="6"/>
      <c r="C121" s="6" t="s">
        <v>144</v>
      </c>
      <c r="D121" s="6" t="s">
        <v>282</v>
      </c>
      <c r="E121" s="6" t="s">
        <v>339</v>
      </c>
      <c r="F121" s="21">
        <v>1</v>
      </c>
      <c r="G121" s="21">
        <v>0</v>
      </c>
      <c r="H121" s="21">
        <f t="shared" si="0"/>
        <v>0</v>
      </c>
      <c r="I121" s="21">
        <f t="shared" si="1"/>
        <v>0</v>
      </c>
      <c r="J121" s="21">
        <f t="shared" si="2"/>
        <v>0</v>
      </c>
      <c r="K121" s="21">
        <v>0.00029</v>
      </c>
      <c r="L121" s="21">
        <f t="shared" si="3"/>
        <v>0.00029</v>
      </c>
      <c r="M121" s="33" t="s">
        <v>358</v>
      </c>
      <c r="N121" s="33" t="s">
        <v>359</v>
      </c>
      <c r="O121" s="21">
        <f t="shared" si="4"/>
        <v>0</v>
      </c>
      <c r="Z121" s="21">
        <f t="shared" si="5"/>
        <v>0</v>
      </c>
      <c r="AA121" s="21">
        <f t="shared" si="6"/>
        <v>0</v>
      </c>
      <c r="AB121" s="21">
        <f t="shared" si="7"/>
        <v>0</v>
      </c>
      <c r="AD121" s="36">
        <v>21</v>
      </c>
      <c r="AE121" s="36">
        <f t="shared" si="8"/>
        <v>0</v>
      </c>
      <c r="AF121" s="36">
        <f t="shared" si="9"/>
        <v>0</v>
      </c>
      <c r="AM121" s="36">
        <f t="shared" si="10"/>
        <v>0</v>
      </c>
      <c r="AN121" s="36">
        <f t="shared" si="11"/>
        <v>0</v>
      </c>
      <c r="AO121" s="37" t="s">
        <v>390</v>
      </c>
      <c r="AP121" s="37" t="s">
        <v>403</v>
      </c>
      <c r="AQ121" s="29" t="s">
        <v>405</v>
      </c>
    </row>
    <row r="122" spans="1:43" ht="12.75">
      <c r="A122" s="6" t="s">
        <v>60</v>
      </c>
      <c r="B122" s="6"/>
      <c r="C122" s="6" t="s">
        <v>145</v>
      </c>
      <c r="D122" s="6" t="s">
        <v>283</v>
      </c>
      <c r="E122" s="6" t="s">
        <v>339</v>
      </c>
      <c r="F122" s="21">
        <v>4</v>
      </c>
      <c r="G122" s="21">
        <v>0</v>
      </c>
      <c r="H122" s="21">
        <f t="shared" si="0"/>
        <v>0</v>
      </c>
      <c r="I122" s="21">
        <f t="shared" si="1"/>
        <v>0</v>
      </c>
      <c r="J122" s="21">
        <f t="shared" si="2"/>
        <v>0</v>
      </c>
      <c r="K122" s="21">
        <v>0.00073</v>
      </c>
      <c r="L122" s="21">
        <f t="shared" si="3"/>
        <v>0.00292</v>
      </c>
      <c r="M122" s="33" t="s">
        <v>358</v>
      </c>
      <c r="N122" s="33" t="s">
        <v>359</v>
      </c>
      <c r="O122" s="21">
        <f t="shared" si="4"/>
        <v>0</v>
      </c>
      <c r="Z122" s="21">
        <f t="shared" si="5"/>
        <v>0</v>
      </c>
      <c r="AA122" s="21">
        <f t="shared" si="6"/>
        <v>0</v>
      </c>
      <c r="AB122" s="21">
        <f t="shared" si="7"/>
        <v>0</v>
      </c>
      <c r="AD122" s="36">
        <v>21</v>
      </c>
      <c r="AE122" s="36">
        <f t="shared" si="8"/>
        <v>0</v>
      </c>
      <c r="AF122" s="36">
        <f t="shared" si="9"/>
        <v>0</v>
      </c>
      <c r="AM122" s="36">
        <f t="shared" si="10"/>
        <v>0</v>
      </c>
      <c r="AN122" s="36">
        <f t="shared" si="11"/>
        <v>0</v>
      </c>
      <c r="AO122" s="37" t="s">
        <v>390</v>
      </c>
      <c r="AP122" s="37" t="s">
        <v>403</v>
      </c>
      <c r="AQ122" s="29" t="s">
        <v>405</v>
      </c>
    </row>
    <row r="123" spans="1:37" ht="12.75">
      <c r="A123" s="5"/>
      <c r="B123" s="13"/>
      <c r="C123" s="13" t="s">
        <v>146</v>
      </c>
      <c r="D123" s="113" t="s">
        <v>284</v>
      </c>
      <c r="E123" s="114"/>
      <c r="F123" s="114"/>
      <c r="G123" s="114"/>
      <c r="H123" s="39">
        <f>SUM(H124:H126)</f>
        <v>0</v>
      </c>
      <c r="I123" s="39">
        <f>SUM(I124:I126)</f>
        <v>0</v>
      </c>
      <c r="J123" s="39">
        <f>H123+I123</f>
        <v>0</v>
      </c>
      <c r="K123" s="29"/>
      <c r="L123" s="39">
        <f>SUM(L124:L126)</f>
        <v>20.59846</v>
      </c>
      <c r="M123" s="29"/>
      <c r="P123" s="39">
        <f>IF(Q123="PR",J123,SUM(O124:O126))</f>
        <v>0</v>
      </c>
      <c r="Q123" s="29" t="s">
        <v>362</v>
      </c>
      <c r="R123" s="39">
        <f>IF(Q123="HS",H123,0)</f>
        <v>0</v>
      </c>
      <c r="S123" s="39">
        <f>IF(Q123="HS",I123-P123,0)</f>
        <v>0</v>
      </c>
      <c r="T123" s="39">
        <f>IF(Q123="PS",H123,0)</f>
        <v>0</v>
      </c>
      <c r="U123" s="39">
        <f>IF(Q123="PS",I123-P123,0)</f>
        <v>0</v>
      </c>
      <c r="V123" s="39">
        <f>IF(Q123="MP",H123,0)</f>
        <v>0</v>
      </c>
      <c r="W123" s="39">
        <f>IF(Q123="MP",I123-P123,0)</f>
        <v>0</v>
      </c>
      <c r="X123" s="39">
        <f>IF(Q123="OM",H123,0)</f>
        <v>0</v>
      </c>
      <c r="Y123" s="29"/>
      <c r="AI123" s="39">
        <f>SUM(Z124:Z126)</f>
        <v>0</v>
      </c>
      <c r="AJ123" s="39">
        <f>SUM(AA124:AA126)</f>
        <v>0</v>
      </c>
      <c r="AK123" s="39">
        <f>SUM(AB124:AB126)</f>
        <v>0</v>
      </c>
    </row>
    <row r="124" spans="1:43" ht="12.75">
      <c r="A124" s="4" t="s">
        <v>61</v>
      </c>
      <c r="B124" s="4"/>
      <c r="C124" s="4" t="s">
        <v>147</v>
      </c>
      <c r="D124" s="4" t="s">
        <v>285</v>
      </c>
      <c r="E124" s="4" t="s">
        <v>338</v>
      </c>
      <c r="F124" s="19">
        <v>79</v>
      </c>
      <c r="G124" s="19">
        <v>0</v>
      </c>
      <c r="H124" s="19">
        <f>F124*AE124</f>
        <v>0</v>
      </c>
      <c r="I124" s="19">
        <f>J124-H124</f>
        <v>0</v>
      </c>
      <c r="J124" s="19">
        <f>F124*G124</f>
        <v>0</v>
      </c>
      <c r="K124" s="19">
        <v>0.15674</v>
      </c>
      <c r="L124" s="19">
        <f>F124*K124</f>
        <v>12.38246</v>
      </c>
      <c r="M124" s="32" t="s">
        <v>358</v>
      </c>
      <c r="N124" s="32" t="s">
        <v>7</v>
      </c>
      <c r="O124" s="19">
        <f>IF(N124="5",I124,0)</f>
        <v>0</v>
      </c>
      <c r="Z124" s="19">
        <f>IF(AD124=0,J124,0)</f>
        <v>0</v>
      </c>
      <c r="AA124" s="19">
        <f>IF(AD124=15,J124,0)</f>
        <v>0</v>
      </c>
      <c r="AB124" s="19">
        <f>IF(AD124=21,J124,0)</f>
        <v>0</v>
      </c>
      <c r="AD124" s="36">
        <v>21</v>
      </c>
      <c r="AE124" s="36">
        <f>G124*0.563933206195637</f>
        <v>0</v>
      </c>
      <c r="AF124" s="36">
        <f>G124*(1-0.563933206195637)</f>
        <v>0</v>
      </c>
      <c r="AM124" s="36">
        <f>F124*AE124</f>
        <v>0</v>
      </c>
      <c r="AN124" s="36">
        <f>F124*AF124</f>
        <v>0</v>
      </c>
      <c r="AO124" s="37" t="s">
        <v>391</v>
      </c>
      <c r="AP124" s="37" t="s">
        <v>404</v>
      </c>
      <c r="AQ124" s="29" t="s">
        <v>405</v>
      </c>
    </row>
    <row r="125" spans="4:6" ht="12.75">
      <c r="D125" s="15" t="s">
        <v>286</v>
      </c>
      <c r="F125" s="20">
        <v>79</v>
      </c>
    </row>
    <row r="126" spans="1:43" ht="12.75">
      <c r="A126" s="6" t="s">
        <v>62</v>
      </c>
      <c r="B126" s="6"/>
      <c r="C126" s="6" t="s">
        <v>148</v>
      </c>
      <c r="D126" s="6" t="s">
        <v>287</v>
      </c>
      <c r="E126" s="6" t="s">
        <v>338</v>
      </c>
      <c r="F126" s="21">
        <v>79</v>
      </c>
      <c r="G126" s="21">
        <v>0</v>
      </c>
      <c r="H126" s="21">
        <f>F126*AE126</f>
        <v>0</v>
      </c>
      <c r="I126" s="21">
        <f>J126-H126</f>
        <v>0</v>
      </c>
      <c r="J126" s="21">
        <f>F126*G126</f>
        <v>0</v>
      </c>
      <c r="K126" s="21">
        <v>0.104</v>
      </c>
      <c r="L126" s="21">
        <f>F126*K126</f>
        <v>8.216</v>
      </c>
      <c r="M126" s="33" t="s">
        <v>358</v>
      </c>
      <c r="N126" s="33" t="s">
        <v>359</v>
      </c>
      <c r="O126" s="21">
        <f>IF(N126="5",I126,0)</f>
        <v>0</v>
      </c>
      <c r="Z126" s="21">
        <f>IF(AD126=0,J126,0)</f>
        <v>0</v>
      </c>
      <c r="AA126" s="21">
        <f>IF(AD126=15,J126,0)</f>
        <v>0</v>
      </c>
      <c r="AB126" s="21">
        <f>IF(AD126=21,J126,0)</f>
        <v>0</v>
      </c>
      <c r="AD126" s="36">
        <v>21</v>
      </c>
      <c r="AE126" s="36">
        <f>G126*1</f>
        <v>0</v>
      </c>
      <c r="AF126" s="36">
        <f>G126*(1-1)</f>
        <v>0</v>
      </c>
      <c r="AM126" s="36">
        <f>F126*AE126</f>
        <v>0</v>
      </c>
      <c r="AN126" s="36">
        <f>F126*AF126</f>
        <v>0</v>
      </c>
      <c r="AO126" s="37" t="s">
        <v>391</v>
      </c>
      <c r="AP126" s="37" t="s">
        <v>404</v>
      </c>
      <c r="AQ126" s="29" t="s">
        <v>405</v>
      </c>
    </row>
    <row r="127" spans="4:6" ht="12.75">
      <c r="D127" s="15" t="s">
        <v>286</v>
      </c>
      <c r="F127" s="20">
        <v>79</v>
      </c>
    </row>
    <row r="128" spans="1:37" ht="12.75">
      <c r="A128" s="5"/>
      <c r="B128" s="13"/>
      <c r="C128" s="13" t="s">
        <v>149</v>
      </c>
      <c r="D128" s="113" t="s">
        <v>288</v>
      </c>
      <c r="E128" s="114"/>
      <c r="F128" s="114"/>
      <c r="G128" s="114"/>
      <c r="H128" s="39">
        <f>SUM(H129:H159)</f>
        <v>0</v>
      </c>
      <c r="I128" s="39">
        <f>SUM(I129:I159)</f>
        <v>0</v>
      </c>
      <c r="J128" s="39">
        <f>H128+I128</f>
        <v>0</v>
      </c>
      <c r="K128" s="29"/>
      <c r="L128" s="39">
        <f>SUM(L129:L159)</f>
        <v>160.20125700000003</v>
      </c>
      <c r="M128" s="29"/>
      <c r="P128" s="39">
        <f>IF(Q128="PR",J128,SUM(O129:O159))</f>
        <v>0</v>
      </c>
      <c r="Q128" s="29" t="s">
        <v>362</v>
      </c>
      <c r="R128" s="39">
        <f>IF(Q128="HS",H128,0)</f>
        <v>0</v>
      </c>
      <c r="S128" s="39">
        <f>IF(Q128="HS",I128-P128,0)</f>
        <v>0</v>
      </c>
      <c r="T128" s="39">
        <f>IF(Q128="PS",H128,0)</f>
        <v>0</v>
      </c>
      <c r="U128" s="39">
        <f>IF(Q128="PS",I128-P128,0)</f>
        <v>0</v>
      </c>
      <c r="V128" s="39">
        <f>IF(Q128="MP",H128,0)</f>
        <v>0</v>
      </c>
      <c r="W128" s="39">
        <f>IF(Q128="MP",I128-P128,0)</f>
        <v>0</v>
      </c>
      <c r="X128" s="39">
        <f>IF(Q128="OM",H128,0)</f>
        <v>0</v>
      </c>
      <c r="Y128" s="29"/>
      <c r="AI128" s="39">
        <f>SUM(Z129:Z159)</f>
        <v>0</v>
      </c>
      <c r="AJ128" s="39">
        <f>SUM(AA129:AA159)</f>
        <v>0</v>
      </c>
      <c r="AK128" s="39">
        <f>SUM(AB129:AB159)</f>
        <v>0</v>
      </c>
    </row>
    <row r="129" spans="1:43" ht="12.75">
      <c r="A129" s="4" t="s">
        <v>63</v>
      </c>
      <c r="B129" s="4"/>
      <c r="C129" s="4" t="s">
        <v>150</v>
      </c>
      <c r="D129" s="4" t="s">
        <v>289</v>
      </c>
      <c r="E129" s="4" t="s">
        <v>335</v>
      </c>
      <c r="F129" s="19">
        <v>2.1</v>
      </c>
      <c r="G129" s="19">
        <v>0</v>
      </c>
      <c r="H129" s="19">
        <f>F129*AE129</f>
        <v>0</v>
      </c>
      <c r="I129" s="19">
        <f>J129-H129</f>
        <v>0</v>
      </c>
      <c r="J129" s="19">
        <f>F129*G129</f>
        <v>0</v>
      </c>
      <c r="K129" s="19">
        <v>2.50112</v>
      </c>
      <c r="L129" s="19">
        <f>F129*K129</f>
        <v>5.252352</v>
      </c>
      <c r="M129" s="32" t="s">
        <v>358</v>
      </c>
      <c r="N129" s="32" t="s">
        <v>7</v>
      </c>
      <c r="O129" s="19">
        <f>IF(N129="5",I129,0)</f>
        <v>0</v>
      </c>
      <c r="Z129" s="19">
        <f>IF(AD129=0,J129,0)</f>
        <v>0</v>
      </c>
      <c r="AA129" s="19">
        <f>IF(AD129=15,J129,0)</f>
        <v>0</v>
      </c>
      <c r="AB129" s="19">
        <f>IF(AD129=21,J129,0)</f>
        <v>0</v>
      </c>
      <c r="AD129" s="36">
        <v>21</v>
      </c>
      <c r="AE129" s="36">
        <f>G129*0.0376481919519554</f>
        <v>0</v>
      </c>
      <c r="AF129" s="36">
        <f>G129*(1-0.0376481919519554)</f>
        <v>0</v>
      </c>
      <c r="AM129" s="36">
        <f>F129*AE129</f>
        <v>0</v>
      </c>
      <c r="AN129" s="36">
        <f>F129*AF129</f>
        <v>0</v>
      </c>
      <c r="AO129" s="37" t="s">
        <v>392</v>
      </c>
      <c r="AP129" s="37" t="s">
        <v>404</v>
      </c>
      <c r="AQ129" s="29" t="s">
        <v>405</v>
      </c>
    </row>
    <row r="130" spans="4:6" ht="12.75">
      <c r="D130" s="15" t="s">
        <v>230</v>
      </c>
      <c r="F130" s="20">
        <v>2.1</v>
      </c>
    </row>
    <row r="131" spans="1:43" ht="12.75">
      <c r="A131" s="4" t="s">
        <v>64</v>
      </c>
      <c r="B131" s="4"/>
      <c r="C131" s="4" t="s">
        <v>151</v>
      </c>
      <c r="D131" s="4" t="s">
        <v>290</v>
      </c>
      <c r="E131" s="4" t="s">
        <v>335</v>
      </c>
      <c r="F131" s="19">
        <v>0.5</v>
      </c>
      <c r="G131" s="19">
        <v>0</v>
      </c>
      <c r="H131" s="19">
        <f>F131*AE131</f>
        <v>0</v>
      </c>
      <c r="I131" s="19">
        <f>J131-H131</f>
        <v>0</v>
      </c>
      <c r="J131" s="19">
        <f>F131*G131</f>
        <v>0</v>
      </c>
      <c r="K131" s="19">
        <v>2.41249</v>
      </c>
      <c r="L131" s="19">
        <f>F131*K131</f>
        <v>1.206245</v>
      </c>
      <c r="M131" s="32" t="s">
        <v>358</v>
      </c>
      <c r="N131" s="32" t="s">
        <v>7</v>
      </c>
      <c r="O131" s="19">
        <f>IF(N131="5",I131,0)</f>
        <v>0</v>
      </c>
      <c r="Z131" s="19">
        <f>IF(AD131=0,J131,0)</f>
        <v>0</v>
      </c>
      <c r="AA131" s="19">
        <f>IF(AD131=15,J131,0)</f>
        <v>0</v>
      </c>
      <c r="AB131" s="19">
        <f>IF(AD131=21,J131,0)</f>
        <v>0</v>
      </c>
      <c r="AD131" s="36">
        <v>21</v>
      </c>
      <c r="AE131" s="36">
        <f>G131*0.0806431478968792</f>
        <v>0</v>
      </c>
      <c r="AF131" s="36">
        <f>G131*(1-0.0806431478968792)</f>
        <v>0</v>
      </c>
      <c r="AM131" s="36">
        <f>F131*AE131</f>
        <v>0</v>
      </c>
      <c r="AN131" s="36">
        <f>F131*AF131</f>
        <v>0</v>
      </c>
      <c r="AO131" s="37" t="s">
        <v>392</v>
      </c>
      <c r="AP131" s="37" t="s">
        <v>404</v>
      </c>
      <c r="AQ131" s="29" t="s">
        <v>405</v>
      </c>
    </row>
    <row r="132" spans="4:6" ht="12.75">
      <c r="D132" s="15" t="s">
        <v>291</v>
      </c>
      <c r="F132" s="20">
        <v>0.5</v>
      </c>
    </row>
    <row r="133" spans="1:43" ht="12.75">
      <c r="A133" s="4" t="s">
        <v>65</v>
      </c>
      <c r="B133" s="4"/>
      <c r="C133" s="4" t="s">
        <v>152</v>
      </c>
      <c r="D133" s="4" t="s">
        <v>292</v>
      </c>
      <c r="E133" s="4" t="s">
        <v>338</v>
      </c>
      <c r="F133" s="19">
        <v>47.8</v>
      </c>
      <c r="G133" s="19">
        <v>0</v>
      </c>
      <c r="H133" s="19">
        <f>F133*AE133</f>
        <v>0</v>
      </c>
      <c r="I133" s="19">
        <f>J133-H133</f>
        <v>0</v>
      </c>
      <c r="J133" s="19">
        <f>F133*G133</f>
        <v>0</v>
      </c>
      <c r="K133" s="19">
        <v>0.37</v>
      </c>
      <c r="L133" s="19">
        <f>F133*K133</f>
        <v>17.686</v>
      </c>
      <c r="M133" s="32" t="s">
        <v>358</v>
      </c>
      <c r="N133" s="32" t="s">
        <v>7</v>
      </c>
      <c r="O133" s="19">
        <f>IF(N133="5",I133,0)</f>
        <v>0</v>
      </c>
      <c r="Z133" s="19">
        <f>IF(AD133=0,J133,0)</f>
        <v>0</v>
      </c>
      <c r="AA133" s="19">
        <f>IF(AD133=15,J133,0)</f>
        <v>0</v>
      </c>
      <c r="AB133" s="19">
        <f>IF(AD133=21,J133,0)</f>
        <v>0</v>
      </c>
      <c r="AD133" s="36">
        <v>21</v>
      </c>
      <c r="AE133" s="36">
        <f>G133*0</f>
        <v>0</v>
      </c>
      <c r="AF133" s="36">
        <f>G133*(1-0)</f>
        <v>0</v>
      </c>
      <c r="AM133" s="36">
        <f>F133*AE133</f>
        <v>0</v>
      </c>
      <c r="AN133" s="36">
        <f>F133*AF133</f>
        <v>0</v>
      </c>
      <c r="AO133" s="37" t="s">
        <v>392</v>
      </c>
      <c r="AP133" s="37" t="s">
        <v>404</v>
      </c>
      <c r="AQ133" s="29" t="s">
        <v>405</v>
      </c>
    </row>
    <row r="134" spans="4:6" ht="12.75">
      <c r="D134" s="15" t="s">
        <v>293</v>
      </c>
      <c r="F134" s="20">
        <v>47.8</v>
      </c>
    </row>
    <row r="135" spans="1:43" ht="12.75">
      <c r="A135" s="4" t="s">
        <v>66</v>
      </c>
      <c r="B135" s="4"/>
      <c r="C135" s="4" t="s">
        <v>153</v>
      </c>
      <c r="D135" s="4" t="s">
        <v>294</v>
      </c>
      <c r="E135" s="4" t="s">
        <v>336</v>
      </c>
      <c r="F135" s="19">
        <v>22.4</v>
      </c>
      <c r="G135" s="19">
        <v>0</v>
      </c>
      <c r="H135" s="19">
        <f>F135*AE135</f>
        <v>0</v>
      </c>
      <c r="I135" s="19">
        <f>J135-H135</f>
        <v>0</v>
      </c>
      <c r="J135" s="19">
        <f>F135*G135</f>
        <v>0</v>
      </c>
      <c r="K135" s="19">
        <v>0.432</v>
      </c>
      <c r="L135" s="19">
        <f>F135*K135</f>
        <v>9.6768</v>
      </c>
      <c r="M135" s="32" t="s">
        <v>358</v>
      </c>
      <c r="N135" s="32" t="s">
        <v>7</v>
      </c>
      <c r="O135" s="19">
        <f>IF(N135="5",I135,0)</f>
        <v>0</v>
      </c>
      <c r="Z135" s="19">
        <f>IF(AD135=0,J135,0)</f>
        <v>0</v>
      </c>
      <c r="AA135" s="19">
        <f>IF(AD135=15,J135,0)</f>
        <v>0</v>
      </c>
      <c r="AB135" s="19">
        <f>IF(AD135=21,J135,0)</f>
        <v>0</v>
      </c>
      <c r="AD135" s="36">
        <v>21</v>
      </c>
      <c r="AE135" s="36">
        <f>G135*0</f>
        <v>0</v>
      </c>
      <c r="AF135" s="36">
        <f>G135*(1-0)</f>
        <v>0</v>
      </c>
      <c r="AM135" s="36">
        <f>F135*AE135</f>
        <v>0</v>
      </c>
      <c r="AN135" s="36">
        <f>F135*AF135</f>
        <v>0</v>
      </c>
      <c r="AO135" s="37" t="s">
        <v>392</v>
      </c>
      <c r="AP135" s="37" t="s">
        <v>404</v>
      </c>
      <c r="AQ135" s="29" t="s">
        <v>405</v>
      </c>
    </row>
    <row r="136" spans="4:6" ht="12.75">
      <c r="D136" s="15" t="s">
        <v>295</v>
      </c>
      <c r="F136" s="20">
        <v>22.4</v>
      </c>
    </row>
    <row r="137" spans="1:43" ht="12.75">
      <c r="A137" s="4" t="s">
        <v>67</v>
      </c>
      <c r="B137" s="4"/>
      <c r="C137" s="4" t="s">
        <v>154</v>
      </c>
      <c r="D137" s="4" t="s">
        <v>296</v>
      </c>
      <c r="E137" s="4" t="s">
        <v>336</v>
      </c>
      <c r="F137" s="19">
        <v>51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0.37534</v>
      </c>
      <c r="L137" s="19">
        <f>F137*K137</f>
        <v>19.14234</v>
      </c>
      <c r="M137" s="32" t="s">
        <v>358</v>
      </c>
      <c r="N137" s="32" t="s">
        <v>7</v>
      </c>
      <c r="O137" s="19">
        <f>IF(N137="5",I137,0)</f>
        <v>0</v>
      </c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6">
        <v>21</v>
      </c>
      <c r="AE137" s="36">
        <f>G137*0.0134403615575305</f>
        <v>0</v>
      </c>
      <c r="AF137" s="36">
        <f>G137*(1-0.0134403615575305)</f>
        <v>0</v>
      </c>
      <c r="AM137" s="36">
        <f>F137*AE137</f>
        <v>0</v>
      </c>
      <c r="AN137" s="36">
        <f>F137*AF137</f>
        <v>0</v>
      </c>
      <c r="AO137" s="37" t="s">
        <v>392</v>
      </c>
      <c r="AP137" s="37" t="s">
        <v>404</v>
      </c>
      <c r="AQ137" s="29" t="s">
        <v>405</v>
      </c>
    </row>
    <row r="138" spans="4:6" ht="12.75">
      <c r="D138" s="15" t="s">
        <v>297</v>
      </c>
      <c r="F138" s="20">
        <v>51</v>
      </c>
    </row>
    <row r="139" spans="1:43" ht="12.75">
      <c r="A139" s="4" t="s">
        <v>68</v>
      </c>
      <c r="B139" s="4"/>
      <c r="C139" s="4" t="s">
        <v>155</v>
      </c>
      <c r="D139" s="4" t="s">
        <v>298</v>
      </c>
      <c r="E139" s="4" t="s">
        <v>336</v>
      </c>
      <c r="F139" s="19">
        <v>28</v>
      </c>
      <c r="G139" s="19">
        <v>0</v>
      </c>
      <c r="H139" s="19">
        <f>F139*AE139</f>
        <v>0</v>
      </c>
      <c r="I139" s="19">
        <f>J139-H139</f>
        <v>0</v>
      </c>
      <c r="J139" s="19">
        <f>F139*G139</f>
        <v>0</v>
      </c>
      <c r="K139" s="19">
        <v>0.25034</v>
      </c>
      <c r="L139" s="19">
        <f>F139*K139</f>
        <v>7.00952</v>
      </c>
      <c r="M139" s="32" t="s">
        <v>358</v>
      </c>
      <c r="N139" s="32" t="s">
        <v>7</v>
      </c>
      <c r="O139" s="19">
        <f>IF(N139="5",I139,0)</f>
        <v>0</v>
      </c>
      <c r="Z139" s="19">
        <f>IF(AD139=0,J139,0)</f>
        <v>0</v>
      </c>
      <c r="AA139" s="19">
        <f>IF(AD139=15,J139,0)</f>
        <v>0</v>
      </c>
      <c r="AB139" s="19">
        <f>IF(AD139=21,J139,0)</f>
        <v>0</v>
      </c>
      <c r="AD139" s="36">
        <v>21</v>
      </c>
      <c r="AE139" s="36">
        <f>G139*0.0225779036827196</f>
        <v>0</v>
      </c>
      <c r="AF139" s="36">
        <f>G139*(1-0.0225779036827196)</f>
        <v>0</v>
      </c>
      <c r="AM139" s="36">
        <f>F139*AE139</f>
        <v>0</v>
      </c>
      <c r="AN139" s="36">
        <f>F139*AF139</f>
        <v>0</v>
      </c>
      <c r="AO139" s="37" t="s">
        <v>392</v>
      </c>
      <c r="AP139" s="37" t="s">
        <v>404</v>
      </c>
      <c r="AQ139" s="29" t="s">
        <v>405</v>
      </c>
    </row>
    <row r="140" spans="4:6" ht="12.75">
      <c r="D140" s="15" t="s">
        <v>299</v>
      </c>
      <c r="F140" s="20">
        <v>28</v>
      </c>
    </row>
    <row r="141" spans="1:43" ht="12.75">
      <c r="A141" s="4" t="s">
        <v>69</v>
      </c>
      <c r="B141" s="4"/>
      <c r="C141" s="4" t="s">
        <v>156</v>
      </c>
      <c r="D141" s="4" t="s">
        <v>300</v>
      </c>
      <c r="E141" s="4" t="s">
        <v>336</v>
      </c>
      <c r="F141" s="19">
        <v>22.4</v>
      </c>
      <c r="G141" s="19">
        <v>0</v>
      </c>
      <c r="H141" s="19">
        <f>F141*AE141</f>
        <v>0</v>
      </c>
      <c r="I141" s="19">
        <f>J141-H141</f>
        <v>0</v>
      </c>
      <c r="J141" s="19">
        <f>F141*G141</f>
        <v>0</v>
      </c>
      <c r="K141" s="19">
        <v>0.22</v>
      </c>
      <c r="L141" s="19">
        <f>F141*K141</f>
        <v>4.928</v>
      </c>
      <c r="M141" s="32" t="s">
        <v>358</v>
      </c>
      <c r="N141" s="32" t="s">
        <v>7</v>
      </c>
      <c r="O141" s="19">
        <f>IF(N141="5",I141,0)</f>
        <v>0</v>
      </c>
      <c r="Z141" s="19">
        <f>IF(AD141=0,J141,0)</f>
        <v>0</v>
      </c>
      <c r="AA141" s="19">
        <f>IF(AD141=15,J141,0)</f>
        <v>0</v>
      </c>
      <c r="AB141" s="19">
        <f>IF(AD141=21,J141,0)</f>
        <v>0</v>
      </c>
      <c r="AD141" s="36">
        <v>21</v>
      </c>
      <c r="AE141" s="36">
        <f>G141*0</f>
        <v>0</v>
      </c>
      <c r="AF141" s="36">
        <f>G141*(1-0)</f>
        <v>0</v>
      </c>
      <c r="AM141" s="36">
        <f>F141*AE141</f>
        <v>0</v>
      </c>
      <c r="AN141" s="36">
        <f>F141*AF141</f>
        <v>0</v>
      </c>
      <c r="AO141" s="37" t="s">
        <v>392</v>
      </c>
      <c r="AP141" s="37" t="s">
        <v>404</v>
      </c>
      <c r="AQ141" s="29" t="s">
        <v>405</v>
      </c>
    </row>
    <row r="142" spans="4:6" ht="12.75">
      <c r="D142" s="15" t="s">
        <v>301</v>
      </c>
      <c r="F142" s="20">
        <v>22.4</v>
      </c>
    </row>
    <row r="143" spans="1:43" ht="12.75">
      <c r="A143" s="4" t="s">
        <v>70</v>
      </c>
      <c r="B143" s="4"/>
      <c r="C143" s="4" t="s">
        <v>157</v>
      </c>
      <c r="D143" s="4" t="s">
        <v>302</v>
      </c>
      <c r="E143" s="4" t="s">
        <v>336</v>
      </c>
      <c r="F143" s="19">
        <v>140</v>
      </c>
      <c r="G143" s="19">
        <v>0</v>
      </c>
      <c r="H143" s="19">
        <f>F143*AE143</f>
        <v>0</v>
      </c>
      <c r="I143" s="19">
        <f>J143-H143</f>
        <v>0</v>
      </c>
      <c r="J143" s="19">
        <f>F143*G143</f>
        <v>0</v>
      </c>
      <c r="K143" s="19">
        <v>0.44</v>
      </c>
      <c r="L143" s="19">
        <f>F143*K143</f>
        <v>61.6</v>
      </c>
      <c r="M143" s="32" t="s">
        <v>358</v>
      </c>
      <c r="N143" s="32" t="s">
        <v>7</v>
      </c>
      <c r="O143" s="19">
        <f>IF(N143="5",I143,0)</f>
        <v>0</v>
      </c>
      <c r="Z143" s="19">
        <f>IF(AD143=0,J143,0)</f>
        <v>0</v>
      </c>
      <c r="AA143" s="19">
        <f>IF(AD143=15,J143,0)</f>
        <v>0</v>
      </c>
      <c r="AB143" s="19">
        <f>IF(AD143=21,J143,0)</f>
        <v>0</v>
      </c>
      <c r="AD143" s="36">
        <v>21</v>
      </c>
      <c r="AE143" s="36">
        <f>G143*0</f>
        <v>0</v>
      </c>
      <c r="AF143" s="36">
        <f>G143*(1-0)</f>
        <v>0</v>
      </c>
      <c r="AM143" s="36">
        <f>F143*AE143</f>
        <v>0</v>
      </c>
      <c r="AN143" s="36">
        <f>F143*AF143</f>
        <v>0</v>
      </c>
      <c r="AO143" s="37" t="s">
        <v>392</v>
      </c>
      <c r="AP143" s="37" t="s">
        <v>404</v>
      </c>
      <c r="AQ143" s="29" t="s">
        <v>405</v>
      </c>
    </row>
    <row r="144" spans="1:43" ht="12.75">
      <c r="A144" s="4" t="s">
        <v>71</v>
      </c>
      <c r="B144" s="4"/>
      <c r="C144" s="4" t="s">
        <v>158</v>
      </c>
      <c r="D144" s="4" t="s">
        <v>303</v>
      </c>
      <c r="E144" s="4" t="s">
        <v>336</v>
      </c>
      <c r="F144" s="19">
        <v>140</v>
      </c>
      <c r="G144" s="19">
        <v>0</v>
      </c>
      <c r="H144" s="19">
        <f>F144*AE144</f>
        <v>0</v>
      </c>
      <c r="I144" s="19">
        <f>J144-H144</f>
        <v>0</v>
      </c>
      <c r="J144" s="19">
        <f>F144*G144</f>
        <v>0</v>
      </c>
      <c r="K144" s="19">
        <v>0.22</v>
      </c>
      <c r="L144" s="19">
        <f>F144*K144</f>
        <v>30.8</v>
      </c>
      <c r="M144" s="32" t="s">
        <v>358</v>
      </c>
      <c r="N144" s="32" t="s">
        <v>7</v>
      </c>
      <c r="O144" s="19">
        <f>IF(N144="5",I144,0)</f>
        <v>0</v>
      </c>
      <c r="Z144" s="19">
        <f>IF(AD144=0,J144,0)</f>
        <v>0</v>
      </c>
      <c r="AA144" s="19">
        <f>IF(AD144=15,J144,0)</f>
        <v>0</v>
      </c>
      <c r="AB144" s="19">
        <f>IF(AD144=21,J144,0)</f>
        <v>0</v>
      </c>
      <c r="AD144" s="36">
        <v>21</v>
      </c>
      <c r="AE144" s="36">
        <f>G144*0</f>
        <v>0</v>
      </c>
      <c r="AF144" s="36">
        <f>G144*(1-0)</f>
        <v>0</v>
      </c>
      <c r="AM144" s="36">
        <f>F144*AE144</f>
        <v>0</v>
      </c>
      <c r="AN144" s="36">
        <f>F144*AF144</f>
        <v>0</v>
      </c>
      <c r="AO144" s="37" t="s">
        <v>392</v>
      </c>
      <c r="AP144" s="37" t="s">
        <v>404</v>
      </c>
      <c r="AQ144" s="29" t="s">
        <v>405</v>
      </c>
    </row>
    <row r="145" spans="1:43" ht="12.75">
      <c r="A145" s="4" t="s">
        <v>72</v>
      </c>
      <c r="B145" s="4"/>
      <c r="C145" s="4" t="s">
        <v>159</v>
      </c>
      <c r="D145" s="4" t="s">
        <v>304</v>
      </c>
      <c r="E145" s="4" t="s">
        <v>339</v>
      </c>
      <c r="F145" s="19">
        <v>1</v>
      </c>
      <c r="G145" s="19">
        <v>0</v>
      </c>
      <c r="H145" s="19">
        <f>F145*AE145</f>
        <v>0</v>
      </c>
      <c r="I145" s="19">
        <f>J145-H145</f>
        <v>0</v>
      </c>
      <c r="J145" s="19">
        <f>F145*G145</f>
        <v>0</v>
      </c>
      <c r="K145" s="19">
        <v>0.085</v>
      </c>
      <c r="L145" s="19">
        <f>F145*K145</f>
        <v>0.085</v>
      </c>
      <c r="M145" s="32" t="s">
        <v>358</v>
      </c>
      <c r="N145" s="32" t="s">
        <v>7</v>
      </c>
      <c r="O145" s="19">
        <f>IF(N145="5",I145,0)</f>
        <v>0</v>
      </c>
      <c r="Z145" s="19">
        <f>IF(AD145=0,J145,0)</f>
        <v>0</v>
      </c>
      <c r="AA145" s="19">
        <f>IF(AD145=15,J145,0)</f>
        <v>0</v>
      </c>
      <c r="AB145" s="19">
        <f>IF(AD145=21,J145,0)</f>
        <v>0</v>
      </c>
      <c r="AD145" s="36">
        <v>21</v>
      </c>
      <c r="AE145" s="36">
        <f>G145*0</f>
        <v>0</v>
      </c>
      <c r="AF145" s="36">
        <f>G145*(1-0)</f>
        <v>0</v>
      </c>
      <c r="AM145" s="36">
        <f>F145*AE145</f>
        <v>0</v>
      </c>
      <c r="AN145" s="36">
        <f>F145*AF145</f>
        <v>0</v>
      </c>
      <c r="AO145" s="37" t="s">
        <v>392</v>
      </c>
      <c r="AP145" s="37" t="s">
        <v>404</v>
      </c>
      <c r="AQ145" s="29" t="s">
        <v>405</v>
      </c>
    </row>
    <row r="146" spans="1:43" ht="12.75">
      <c r="A146" s="4" t="s">
        <v>73</v>
      </c>
      <c r="B146" s="4"/>
      <c r="C146" s="4" t="s">
        <v>160</v>
      </c>
      <c r="D146" s="4" t="s">
        <v>305</v>
      </c>
      <c r="E146" s="4" t="s">
        <v>339</v>
      </c>
      <c r="F146" s="19">
        <v>1</v>
      </c>
      <c r="G146" s="19">
        <v>0</v>
      </c>
      <c r="H146" s="19">
        <f>F146*AE146</f>
        <v>0</v>
      </c>
      <c r="I146" s="19">
        <f>J146-H146</f>
        <v>0</v>
      </c>
      <c r="J146" s="19">
        <f>F146*G146</f>
        <v>0</v>
      </c>
      <c r="K146" s="19">
        <v>0.045</v>
      </c>
      <c r="L146" s="19">
        <f>F146*K146</f>
        <v>0.045</v>
      </c>
      <c r="M146" s="32" t="s">
        <v>358</v>
      </c>
      <c r="N146" s="32" t="s">
        <v>7</v>
      </c>
      <c r="O146" s="19">
        <f>IF(N146="5",I146,0)</f>
        <v>0</v>
      </c>
      <c r="Z146" s="19">
        <f>IF(AD146=0,J146,0)</f>
        <v>0</v>
      </c>
      <c r="AA146" s="19">
        <f>IF(AD146=15,J146,0)</f>
        <v>0</v>
      </c>
      <c r="AB146" s="19">
        <f>IF(AD146=21,J146,0)</f>
        <v>0</v>
      </c>
      <c r="AD146" s="36">
        <v>21</v>
      </c>
      <c r="AE146" s="36">
        <f>G146*0</f>
        <v>0</v>
      </c>
      <c r="AF146" s="36">
        <f>G146*(1-0)</f>
        <v>0</v>
      </c>
      <c r="AM146" s="36">
        <f>F146*AE146</f>
        <v>0</v>
      </c>
      <c r="AN146" s="36">
        <f>F146*AF146</f>
        <v>0</v>
      </c>
      <c r="AO146" s="37" t="s">
        <v>392</v>
      </c>
      <c r="AP146" s="37" t="s">
        <v>404</v>
      </c>
      <c r="AQ146" s="29" t="s">
        <v>405</v>
      </c>
    </row>
    <row r="147" spans="1:43" ht="12.75">
      <c r="A147" s="4" t="s">
        <v>74</v>
      </c>
      <c r="B147" s="4"/>
      <c r="C147" s="4" t="s">
        <v>161</v>
      </c>
      <c r="D147" s="4" t="s">
        <v>306</v>
      </c>
      <c r="E147" s="4" t="s">
        <v>339</v>
      </c>
      <c r="F147" s="19">
        <v>20</v>
      </c>
      <c r="G147" s="19">
        <v>0</v>
      </c>
      <c r="H147" s="19">
        <f>F147*AE147</f>
        <v>0</v>
      </c>
      <c r="I147" s="19">
        <f>J147-H147</f>
        <v>0</v>
      </c>
      <c r="J147" s="19">
        <f>F147*G147</f>
        <v>0</v>
      </c>
      <c r="K147" s="19">
        <v>0.009</v>
      </c>
      <c r="L147" s="19">
        <f>F147*K147</f>
        <v>0.18</v>
      </c>
      <c r="M147" s="32" t="s">
        <v>358</v>
      </c>
      <c r="N147" s="32" t="s">
        <v>7</v>
      </c>
      <c r="O147" s="19">
        <f>IF(N147="5",I147,0)</f>
        <v>0</v>
      </c>
      <c r="Z147" s="19">
        <f>IF(AD147=0,J147,0)</f>
        <v>0</v>
      </c>
      <c r="AA147" s="19">
        <f>IF(AD147=15,J147,0)</f>
        <v>0</v>
      </c>
      <c r="AB147" s="19">
        <f>IF(AD147=21,J147,0)</f>
        <v>0</v>
      </c>
      <c r="AD147" s="36">
        <v>21</v>
      </c>
      <c r="AE147" s="36">
        <f>G147*0</f>
        <v>0</v>
      </c>
      <c r="AF147" s="36">
        <f>G147*(1-0)</f>
        <v>0</v>
      </c>
      <c r="AM147" s="36">
        <f>F147*AE147</f>
        <v>0</v>
      </c>
      <c r="AN147" s="36">
        <f>F147*AF147</f>
        <v>0</v>
      </c>
      <c r="AO147" s="37" t="s">
        <v>392</v>
      </c>
      <c r="AP147" s="37" t="s">
        <v>404</v>
      </c>
      <c r="AQ147" s="29" t="s">
        <v>405</v>
      </c>
    </row>
    <row r="148" spans="4:6" ht="12.75">
      <c r="D148" s="15" t="s">
        <v>307</v>
      </c>
      <c r="F148" s="20">
        <v>20</v>
      </c>
    </row>
    <row r="149" spans="1:43" ht="12.75">
      <c r="A149" s="4" t="s">
        <v>75</v>
      </c>
      <c r="B149" s="4"/>
      <c r="C149" s="4" t="s">
        <v>162</v>
      </c>
      <c r="D149" s="4" t="s">
        <v>308</v>
      </c>
      <c r="E149" s="4" t="s">
        <v>338</v>
      </c>
      <c r="F149" s="19">
        <v>70</v>
      </c>
      <c r="G149" s="19">
        <v>0</v>
      </c>
      <c r="H149" s="19">
        <f>F149*AE149</f>
        <v>0</v>
      </c>
      <c r="I149" s="19">
        <f>J149-H149</f>
        <v>0</v>
      </c>
      <c r="J149" s="19">
        <f>F149*G149</f>
        <v>0</v>
      </c>
      <c r="K149" s="19">
        <v>0.037</v>
      </c>
      <c r="L149" s="19">
        <f>F149*K149</f>
        <v>2.59</v>
      </c>
      <c r="M149" s="32" t="s">
        <v>358</v>
      </c>
      <c r="N149" s="32" t="s">
        <v>7</v>
      </c>
      <c r="O149" s="19">
        <f>IF(N149="5",I149,0)</f>
        <v>0</v>
      </c>
      <c r="Z149" s="19">
        <f>IF(AD149=0,J149,0)</f>
        <v>0</v>
      </c>
      <c r="AA149" s="19">
        <f>IF(AD149=15,J149,0)</f>
        <v>0</v>
      </c>
      <c r="AB149" s="19">
        <f>IF(AD149=21,J149,0)</f>
        <v>0</v>
      </c>
      <c r="AD149" s="36">
        <v>21</v>
      </c>
      <c r="AE149" s="36">
        <f>G149*0</f>
        <v>0</v>
      </c>
      <c r="AF149" s="36">
        <f>G149*(1-0)</f>
        <v>0</v>
      </c>
      <c r="AM149" s="36">
        <f>F149*AE149</f>
        <v>0</v>
      </c>
      <c r="AN149" s="36">
        <f>F149*AF149</f>
        <v>0</v>
      </c>
      <c r="AO149" s="37" t="s">
        <v>392</v>
      </c>
      <c r="AP149" s="37" t="s">
        <v>404</v>
      </c>
      <c r="AQ149" s="29" t="s">
        <v>405</v>
      </c>
    </row>
    <row r="150" spans="4:6" ht="12.75">
      <c r="D150" s="15" t="s">
        <v>309</v>
      </c>
      <c r="F150" s="20">
        <v>70</v>
      </c>
    </row>
    <row r="151" spans="1:43" ht="12.75">
      <c r="A151" s="4" t="s">
        <v>76</v>
      </c>
      <c r="B151" s="4"/>
      <c r="C151" s="4" t="s">
        <v>163</v>
      </c>
      <c r="D151" s="4" t="s">
        <v>310</v>
      </c>
      <c r="E151" s="4" t="s">
        <v>341</v>
      </c>
      <c r="F151" s="19">
        <v>160.2013</v>
      </c>
      <c r="G151" s="19">
        <v>0</v>
      </c>
      <c r="H151" s="19">
        <f>F151*AE151</f>
        <v>0</v>
      </c>
      <c r="I151" s="19">
        <f>J151-H151</f>
        <v>0</v>
      </c>
      <c r="J151" s="19">
        <f>F151*G151</f>
        <v>0</v>
      </c>
      <c r="K151" s="19">
        <v>0</v>
      </c>
      <c r="L151" s="19">
        <f>F151*K151</f>
        <v>0</v>
      </c>
      <c r="M151" s="32" t="s">
        <v>358</v>
      </c>
      <c r="N151" s="32" t="s">
        <v>11</v>
      </c>
      <c r="O151" s="19">
        <f>IF(N151="5",I151,0)</f>
        <v>0</v>
      </c>
      <c r="Z151" s="19">
        <f>IF(AD151=0,J151,0)</f>
        <v>0</v>
      </c>
      <c r="AA151" s="19">
        <f>IF(AD151=15,J151,0)</f>
        <v>0</v>
      </c>
      <c r="AB151" s="19">
        <f>IF(AD151=21,J151,0)</f>
        <v>0</v>
      </c>
      <c r="AD151" s="36">
        <v>21</v>
      </c>
      <c r="AE151" s="36">
        <f>G151*0</f>
        <v>0</v>
      </c>
      <c r="AF151" s="36">
        <f>G151*(1-0)</f>
        <v>0</v>
      </c>
      <c r="AM151" s="36">
        <f>F151*AE151</f>
        <v>0</v>
      </c>
      <c r="AN151" s="36">
        <f>F151*AF151</f>
        <v>0</v>
      </c>
      <c r="AO151" s="37" t="s">
        <v>392</v>
      </c>
      <c r="AP151" s="37" t="s">
        <v>404</v>
      </c>
      <c r="AQ151" s="29" t="s">
        <v>405</v>
      </c>
    </row>
    <row r="152" spans="1:43" ht="12.75">
      <c r="A152" s="4" t="s">
        <v>77</v>
      </c>
      <c r="B152" s="4"/>
      <c r="C152" s="4" t="s">
        <v>164</v>
      </c>
      <c r="D152" s="4" t="s">
        <v>311</v>
      </c>
      <c r="E152" s="4" t="s">
        <v>341</v>
      </c>
      <c r="F152" s="19">
        <v>320.4026</v>
      </c>
      <c r="G152" s="19">
        <v>0</v>
      </c>
      <c r="H152" s="19">
        <f>F152*AE152</f>
        <v>0</v>
      </c>
      <c r="I152" s="19">
        <f>J152-H152</f>
        <v>0</v>
      </c>
      <c r="J152" s="19">
        <f>F152*G152</f>
        <v>0</v>
      </c>
      <c r="K152" s="19">
        <v>0</v>
      </c>
      <c r="L152" s="19">
        <f>F152*K152</f>
        <v>0</v>
      </c>
      <c r="M152" s="32" t="s">
        <v>358</v>
      </c>
      <c r="N152" s="32" t="s">
        <v>11</v>
      </c>
      <c r="O152" s="19">
        <f>IF(N152="5",I152,0)</f>
        <v>0</v>
      </c>
      <c r="Z152" s="19">
        <f>IF(AD152=0,J152,0)</f>
        <v>0</v>
      </c>
      <c r="AA152" s="19">
        <f>IF(AD152=15,J152,0)</f>
        <v>0</v>
      </c>
      <c r="AB152" s="19">
        <f>IF(AD152=21,J152,0)</f>
        <v>0</v>
      </c>
      <c r="AD152" s="36">
        <v>21</v>
      </c>
      <c r="AE152" s="36">
        <f>G152*0</f>
        <v>0</v>
      </c>
      <c r="AF152" s="36">
        <f>G152*(1-0)</f>
        <v>0</v>
      </c>
      <c r="AM152" s="36">
        <f>F152*AE152</f>
        <v>0</v>
      </c>
      <c r="AN152" s="36">
        <f>F152*AF152</f>
        <v>0</v>
      </c>
      <c r="AO152" s="37" t="s">
        <v>392</v>
      </c>
      <c r="AP152" s="37" t="s">
        <v>404</v>
      </c>
      <c r="AQ152" s="29" t="s">
        <v>405</v>
      </c>
    </row>
    <row r="153" spans="4:6" ht="12.75">
      <c r="D153" s="15" t="s">
        <v>312</v>
      </c>
      <c r="F153" s="20">
        <v>320.4026</v>
      </c>
    </row>
    <row r="154" spans="1:43" ht="12.75">
      <c r="A154" s="4" t="s">
        <v>78</v>
      </c>
      <c r="B154" s="4"/>
      <c r="C154" s="4" t="s">
        <v>165</v>
      </c>
      <c r="D154" s="4" t="s">
        <v>313</v>
      </c>
      <c r="E154" s="4" t="s">
        <v>341</v>
      </c>
      <c r="F154" s="19">
        <v>160.2013</v>
      </c>
      <c r="G154" s="19">
        <v>0</v>
      </c>
      <c r="H154" s="19">
        <f>F154*AE154</f>
        <v>0</v>
      </c>
      <c r="I154" s="19">
        <f>J154-H154</f>
        <v>0</v>
      </c>
      <c r="J154" s="19">
        <f>F154*G154</f>
        <v>0</v>
      </c>
      <c r="K154" s="19">
        <v>0</v>
      </c>
      <c r="L154" s="19">
        <f>F154*K154</f>
        <v>0</v>
      </c>
      <c r="M154" s="32" t="s">
        <v>358</v>
      </c>
      <c r="N154" s="32" t="s">
        <v>11</v>
      </c>
      <c r="O154" s="19">
        <f>IF(N154="5",I154,0)</f>
        <v>0</v>
      </c>
      <c r="Z154" s="19">
        <f>IF(AD154=0,J154,0)</f>
        <v>0</v>
      </c>
      <c r="AA154" s="19">
        <f>IF(AD154=15,J154,0)</f>
        <v>0</v>
      </c>
      <c r="AB154" s="19">
        <f>IF(AD154=21,J154,0)</f>
        <v>0</v>
      </c>
      <c r="AD154" s="36">
        <v>21</v>
      </c>
      <c r="AE154" s="36">
        <f>G154*0</f>
        <v>0</v>
      </c>
      <c r="AF154" s="36">
        <f>G154*(1-0)</f>
        <v>0</v>
      </c>
      <c r="AM154" s="36">
        <f>F154*AE154</f>
        <v>0</v>
      </c>
      <c r="AN154" s="36">
        <f>F154*AF154</f>
        <v>0</v>
      </c>
      <c r="AO154" s="37" t="s">
        <v>392</v>
      </c>
      <c r="AP154" s="37" t="s">
        <v>404</v>
      </c>
      <c r="AQ154" s="29" t="s">
        <v>405</v>
      </c>
    </row>
    <row r="155" spans="1:43" ht="12.75">
      <c r="A155" s="4" t="s">
        <v>79</v>
      </c>
      <c r="B155" s="4"/>
      <c r="C155" s="4" t="s">
        <v>166</v>
      </c>
      <c r="D155" s="4" t="s">
        <v>314</v>
      </c>
      <c r="E155" s="4" t="s">
        <v>341</v>
      </c>
      <c r="F155" s="19">
        <v>4645.8377</v>
      </c>
      <c r="G155" s="19">
        <v>0</v>
      </c>
      <c r="H155" s="19">
        <f>F155*AE155</f>
        <v>0</v>
      </c>
      <c r="I155" s="19">
        <f>J155-H155</f>
        <v>0</v>
      </c>
      <c r="J155" s="19">
        <f>F155*G155</f>
        <v>0</v>
      </c>
      <c r="K155" s="19">
        <v>0</v>
      </c>
      <c r="L155" s="19">
        <f>F155*K155</f>
        <v>0</v>
      </c>
      <c r="M155" s="32" t="s">
        <v>358</v>
      </c>
      <c r="N155" s="32" t="s">
        <v>11</v>
      </c>
      <c r="O155" s="19">
        <f>IF(N155="5",I155,0)</f>
        <v>0</v>
      </c>
      <c r="Z155" s="19">
        <f>IF(AD155=0,J155,0)</f>
        <v>0</v>
      </c>
      <c r="AA155" s="19">
        <f>IF(AD155=15,J155,0)</f>
        <v>0</v>
      </c>
      <c r="AB155" s="19">
        <f>IF(AD155=21,J155,0)</f>
        <v>0</v>
      </c>
      <c r="AD155" s="36">
        <v>21</v>
      </c>
      <c r="AE155" s="36">
        <f>G155*0</f>
        <v>0</v>
      </c>
      <c r="AF155" s="36">
        <f>G155*(1-0)</f>
        <v>0</v>
      </c>
      <c r="AM155" s="36">
        <f>F155*AE155</f>
        <v>0</v>
      </c>
      <c r="AN155" s="36">
        <f>F155*AF155</f>
        <v>0</v>
      </c>
      <c r="AO155" s="37" t="s">
        <v>392</v>
      </c>
      <c r="AP155" s="37" t="s">
        <v>404</v>
      </c>
      <c r="AQ155" s="29" t="s">
        <v>405</v>
      </c>
    </row>
    <row r="156" spans="4:6" ht="12.75">
      <c r="D156" s="15" t="s">
        <v>315</v>
      </c>
      <c r="F156" s="20">
        <v>4645.8377</v>
      </c>
    </row>
    <row r="157" spans="1:43" ht="12.75">
      <c r="A157" s="4" t="s">
        <v>80</v>
      </c>
      <c r="B157" s="4"/>
      <c r="C157" s="4" t="s">
        <v>167</v>
      </c>
      <c r="D157" s="4" t="s">
        <v>316</v>
      </c>
      <c r="E157" s="4" t="s">
        <v>341</v>
      </c>
      <c r="F157" s="19">
        <v>30.8</v>
      </c>
      <c r="G157" s="19">
        <v>0</v>
      </c>
      <c r="H157" s="19">
        <f>F157*AE157</f>
        <v>0</v>
      </c>
      <c r="I157" s="19">
        <f>J157-H157</f>
        <v>0</v>
      </c>
      <c r="J157" s="19">
        <f>F157*G157</f>
        <v>0</v>
      </c>
      <c r="K157" s="19">
        <v>0</v>
      </c>
      <c r="L157" s="19">
        <f>F157*K157</f>
        <v>0</v>
      </c>
      <c r="M157" s="32" t="s">
        <v>358</v>
      </c>
      <c r="N157" s="32" t="s">
        <v>11</v>
      </c>
      <c r="O157" s="19">
        <f>IF(N157="5",I157,0)</f>
        <v>0</v>
      </c>
      <c r="Z157" s="19">
        <f>IF(AD157=0,J157,0)</f>
        <v>0</v>
      </c>
      <c r="AA157" s="19">
        <f>IF(AD157=15,J157,0)</f>
        <v>0</v>
      </c>
      <c r="AB157" s="19">
        <f>IF(AD157=21,J157,0)</f>
        <v>0</v>
      </c>
      <c r="AD157" s="36">
        <v>21</v>
      </c>
      <c r="AE157" s="36">
        <f>G157*0</f>
        <v>0</v>
      </c>
      <c r="AF157" s="36">
        <f>G157*(1-0)</f>
        <v>0</v>
      </c>
      <c r="AM157" s="36">
        <f>F157*AE157</f>
        <v>0</v>
      </c>
      <c r="AN157" s="36">
        <f>F157*AF157</f>
        <v>0</v>
      </c>
      <c r="AO157" s="37" t="s">
        <v>392</v>
      </c>
      <c r="AP157" s="37" t="s">
        <v>404</v>
      </c>
      <c r="AQ157" s="29" t="s">
        <v>405</v>
      </c>
    </row>
    <row r="158" spans="1:43" ht="12.75">
      <c r="A158" s="4" t="s">
        <v>81</v>
      </c>
      <c r="B158" s="4"/>
      <c r="C158" s="4" t="s">
        <v>168</v>
      </c>
      <c r="D158" s="4" t="s">
        <v>317</v>
      </c>
      <c r="E158" s="4" t="s">
        <v>341</v>
      </c>
      <c r="F158" s="19">
        <v>1.2063</v>
      </c>
      <c r="G158" s="19">
        <v>0</v>
      </c>
      <c r="H158" s="19">
        <f>F158*AE158</f>
        <v>0</v>
      </c>
      <c r="I158" s="19">
        <f>J158-H158</f>
        <v>0</v>
      </c>
      <c r="J158" s="19">
        <f>F158*G158</f>
        <v>0</v>
      </c>
      <c r="K158" s="19">
        <v>0</v>
      </c>
      <c r="L158" s="19">
        <f>F158*K158</f>
        <v>0</v>
      </c>
      <c r="M158" s="32" t="s">
        <v>358</v>
      </c>
      <c r="N158" s="32" t="s">
        <v>11</v>
      </c>
      <c r="O158" s="19">
        <f>IF(N158="5",I158,0)</f>
        <v>0</v>
      </c>
      <c r="Z158" s="19">
        <f>IF(AD158=0,J158,0)</f>
        <v>0</v>
      </c>
      <c r="AA158" s="19">
        <f>IF(AD158=15,J158,0)</f>
        <v>0</v>
      </c>
      <c r="AB158" s="19">
        <f>IF(AD158=21,J158,0)</f>
        <v>0</v>
      </c>
      <c r="AD158" s="36">
        <v>21</v>
      </c>
      <c r="AE158" s="36">
        <f>G158*0</f>
        <v>0</v>
      </c>
      <c r="AF158" s="36">
        <f>G158*(1-0)</f>
        <v>0</v>
      </c>
      <c r="AM158" s="36">
        <f>F158*AE158</f>
        <v>0</v>
      </c>
      <c r="AN158" s="36">
        <f>F158*AF158</f>
        <v>0</v>
      </c>
      <c r="AO158" s="37" t="s">
        <v>392</v>
      </c>
      <c r="AP158" s="37" t="s">
        <v>404</v>
      </c>
      <c r="AQ158" s="29" t="s">
        <v>405</v>
      </c>
    </row>
    <row r="159" spans="1:43" ht="12.75">
      <c r="A159" s="4" t="s">
        <v>82</v>
      </c>
      <c r="B159" s="4"/>
      <c r="C159" s="4" t="s">
        <v>169</v>
      </c>
      <c r="D159" s="4" t="s">
        <v>318</v>
      </c>
      <c r="E159" s="4" t="s">
        <v>341</v>
      </c>
      <c r="F159" s="19">
        <v>128.195</v>
      </c>
      <c r="G159" s="19">
        <v>0</v>
      </c>
      <c r="H159" s="19">
        <f>F159*AE159</f>
        <v>0</v>
      </c>
      <c r="I159" s="19">
        <f>J159-H159</f>
        <v>0</v>
      </c>
      <c r="J159" s="19">
        <f>F159*G159</f>
        <v>0</v>
      </c>
      <c r="K159" s="19">
        <v>0</v>
      </c>
      <c r="L159" s="19">
        <f>F159*K159</f>
        <v>0</v>
      </c>
      <c r="M159" s="32" t="s">
        <v>358</v>
      </c>
      <c r="N159" s="32" t="s">
        <v>11</v>
      </c>
      <c r="O159" s="19">
        <f>IF(N159="5",I159,0)</f>
        <v>0</v>
      </c>
      <c r="Z159" s="19">
        <f>IF(AD159=0,J159,0)</f>
        <v>0</v>
      </c>
      <c r="AA159" s="19">
        <f>IF(AD159=15,J159,0)</f>
        <v>0</v>
      </c>
      <c r="AB159" s="19">
        <f>IF(AD159=21,J159,0)</f>
        <v>0</v>
      </c>
      <c r="AD159" s="36">
        <v>21</v>
      </c>
      <c r="AE159" s="36">
        <f>G159*0</f>
        <v>0</v>
      </c>
      <c r="AF159" s="36">
        <f>G159*(1-0)</f>
        <v>0</v>
      </c>
      <c r="AM159" s="36">
        <f>F159*AE159</f>
        <v>0</v>
      </c>
      <c r="AN159" s="36">
        <f>F159*AF159</f>
        <v>0</v>
      </c>
      <c r="AO159" s="37" t="s">
        <v>392</v>
      </c>
      <c r="AP159" s="37" t="s">
        <v>404</v>
      </c>
      <c r="AQ159" s="29" t="s">
        <v>405</v>
      </c>
    </row>
    <row r="160" spans="4:6" ht="12.75">
      <c r="D160" s="15" t="s">
        <v>319</v>
      </c>
      <c r="F160" s="20">
        <v>128.195</v>
      </c>
    </row>
    <row r="161" spans="1:37" ht="12.75">
      <c r="A161" s="5"/>
      <c r="B161" s="13"/>
      <c r="C161" s="13" t="s">
        <v>170</v>
      </c>
      <c r="D161" s="113" t="s">
        <v>320</v>
      </c>
      <c r="E161" s="114"/>
      <c r="F161" s="114"/>
      <c r="G161" s="114"/>
      <c r="H161" s="39">
        <f>SUM(H162:H162)</f>
        <v>0</v>
      </c>
      <c r="I161" s="39">
        <f>SUM(I162:I162)</f>
        <v>0</v>
      </c>
      <c r="J161" s="39">
        <f>H161+I161</f>
        <v>0</v>
      </c>
      <c r="K161" s="29"/>
      <c r="L161" s="39">
        <f>SUM(L162:L162)</f>
        <v>0</v>
      </c>
      <c r="M161" s="29"/>
      <c r="P161" s="39">
        <f>IF(Q161="PR",J161,SUM(O162:O162))</f>
        <v>0</v>
      </c>
      <c r="Q161" s="29" t="s">
        <v>362</v>
      </c>
      <c r="R161" s="39">
        <f>IF(Q161="HS",H161,0)</f>
        <v>0</v>
      </c>
      <c r="S161" s="39">
        <f>IF(Q161="HS",I161-P161,0)</f>
        <v>0</v>
      </c>
      <c r="T161" s="39">
        <f>IF(Q161="PS",H161,0)</f>
        <v>0</v>
      </c>
      <c r="U161" s="39">
        <f>IF(Q161="PS",I161-P161,0)</f>
        <v>0</v>
      </c>
      <c r="V161" s="39">
        <f>IF(Q161="MP",H161,0)</f>
        <v>0</v>
      </c>
      <c r="W161" s="39">
        <f>IF(Q161="MP",I161-P161,0)</f>
        <v>0</v>
      </c>
      <c r="X161" s="39">
        <f>IF(Q161="OM",H161,0)</f>
        <v>0</v>
      </c>
      <c r="Y161" s="29"/>
      <c r="AI161" s="39">
        <f>SUM(Z162:Z162)</f>
        <v>0</v>
      </c>
      <c r="AJ161" s="39">
        <f>SUM(AA162:AA162)</f>
        <v>0</v>
      </c>
      <c r="AK161" s="39">
        <f>SUM(AB162:AB162)</f>
        <v>0</v>
      </c>
    </row>
    <row r="162" spans="1:43" ht="12.75">
      <c r="A162" s="4" t="s">
        <v>83</v>
      </c>
      <c r="B162" s="4"/>
      <c r="C162" s="4" t="s">
        <v>171</v>
      </c>
      <c r="D162" s="4" t="s">
        <v>321</v>
      </c>
      <c r="E162" s="4" t="s">
        <v>341</v>
      </c>
      <c r="F162" s="19">
        <v>426.76475</v>
      </c>
      <c r="G162" s="19">
        <v>0</v>
      </c>
      <c r="H162" s="19">
        <f>F162*AE162</f>
        <v>0</v>
      </c>
      <c r="I162" s="19">
        <f>J162-H162</f>
        <v>0</v>
      </c>
      <c r="J162" s="19">
        <f>F162*G162</f>
        <v>0</v>
      </c>
      <c r="K162" s="19">
        <v>0</v>
      </c>
      <c r="L162" s="19">
        <f>F162*K162</f>
        <v>0</v>
      </c>
      <c r="M162" s="32" t="s">
        <v>358</v>
      </c>
      <c r="N162" s="32" t="s">
        <v>11</v>
      </c>
      <c r="O162" s="19">
        <f>IF(N162="5",I162,0)</f>
        <v>0</v>
      </c>
      <c r="Z162" s="19">
        <f>IF(AD162=0,J162,0)</f>
        <v>0</v>
      </c>
      <c r="AA162" s="19">
        <f>IF(AD162=15,J162,0)</f>
        <v>0</v>
      </c>
      <c r="AB162" s="19">
        <f>IF(AD162=21,J162,0)</f>
        <v>0</v>
      </c>
      <c r="AD162" s="36">
        <v>21</v>
      </c>
      <c r="AE162" s="36">
        <f>G162*0</f>
        <v>0</v>
      </c>
      <c r="AF162" s="36">
        <f>G162*(1-0)</f>
        <v>0</v>
      </c>
      <c r="AM162" s="36">
        <f>F162*AE162</f>
        <v>0</v>
      </c>
      <c r="AN162" s="36">
        <f>F162*AF162</f>
        <v>0</v>
      </c>
      <c r="AO162" s="37" t="s">
        <v>393</v>
      </c>
      <c r="AP162" s="37" t="s">
        <v>404</v>
      </c>
      <c r="AQ162" s="29" t="s">
        <v>405</v>
      </c>
    </row>
    <row r="163" spans="4:6" ht="12.75">
      <c r="D163" s="15" t="s">
        <v>322</v>
      </c>
      <c r="F163" s="20">
        <v>426.76475</v>
      </c>
    </row>
    <row r="164" spans="1:37" ht="12.75">
      <c r="A164" s="5"/>
      <c r="B164" s="13"/>
      <c r="C164" s="13" t="s">
        <v>172</v>
      </c>
      <c r="D164" s="113" t="s">
        <v>323</v>
      </c>
      <c r="E164" s="114"/>
      <c r="F164" s="114"/>
      <c r="G164" s="114"/>
      <c r="H164" s="39">
        <f>SUM(H165:H167)</f>
        <v>0</v>
      </c>
      <c r="I164" s="39">
        <f>SUM(I165:I167)</f>
        <v>0</v>
      </c>
      <c r="J164" s="39">
        <f>H164+I164</f>
        <v>0</v>
      </c>
      <c r="K164" s="29"/>
      <c r="L164" s="39">
        <f>SUM(L165:L167)</f>
        <v>0</v>
      </c>
      <c r="M164" s="29"/>
      <c r="P164" s="39">
        <f>IF(Q164="PR",J164,SUM(O165:O167))</f>
        <v>0</v>
      </c>
      <c r="Q164" s="29" t="s">
        <v>364</v>
      </c>
      <c r="R164" s="39">
        <f>IF(Q164="HS",H164,0)</f>
        <v>0</v>
      </c>
      <c r="S164" s="39">
        <f>IF(Q164="HS",I164-P164,0)</f>
        <v>0</v>
      </c>
      <c r="T164" s="39">
        <f>IF(Q164="PS",H164,0)</f>
        <v>0</v>
      </c>
      <c r="U164" s="39">
        <f>IF(Q164="PS",I164-P164,0)</f>
        <v>0</v>
      </c>
      <c r="V164" s="39">
        <f>IF(Q164="MP",H164,0)</f>
        <v>0</v>
      </c>
      <c r="W164" s="39">
        <f>IF(Q164="MP",I164-P164,0)</f>
        <v>0</v>
      </c>
      <c r="X164" s="39">
        <f>IF(Q164="OM",H164,0)</f>
        <v>0</v>
      </c>
      <c r="Y164" s="29"/>
      <c r="AI164" s="39">
        <f>SUM(Z165:Z167)</f>
        <v>0</v>
      </c>
      <c r="AJ164" s="39">
        <f>SUM(AA165:AA167)</f>
        <v>0</v>
      </c>
      <c r="AK164" s="39">
        <f>SUM(AB165:AB167)</f>
        <v>0</v>
      </c>
    </row>
    <row r="165" spans="1:43" ht="12.75">
      <c r="A165" s="4" t="s">
        <v>84</v>
      </c>
      <c r="B165" s="4"/>
      <c r="C165" s="4" t="s">
        <v>173</v>
      </c>
      <c r="D165" s="4" t="s">
        <v>324</v>
      </c>
      <c r="E165" s="4" t="s">
        <v>338</v>
      </c>
      <c r="F165" s="19">
        <v>9</v>
      </c>
      <c r="G165" s="19">
        <v>0</v>
      </c>
      <c r="H165" s="19">
        <f>F165*AE165</f>
        <v>0</v>
      </c>
      <c r="I165" s="19">
        <f>J165-H165</f>
        <v>0</v>
      </c>
      <c r="J165" s="19">
        <f>F165*G165</f>
        <v>0</v>
      </c>
      <c r="K165" s="19">
        <v>0</v>
      </c>
      <c r="L165" s="19">
        <f>F165*K165</f>
        <v>0</v>
      </c>
      <c r="M165" s="32" t="s">
        <v>358</v>
      </c>
      <c r="N165" s="32" t="s">
        <v>8</v>
      </c>
      <c r="O165" s="19">
        <f>IF(N165="5",I165,0)</f>
        <v>0</v>
      </c>
      <c r="Z165" s="19">
        <f>IF(AD165=0,J165,0)</f>
        <v>0</v>
      </c>
      <c r="AA165" s="19">
        <f>IF(AD165=15,J165,0)</f>
        <v>0</v>
      </c>
      <c r="AB165" s="19">
        <f>IF(AD165=21,J165,0)</f>
        <v>0</v>
      </c>
      <c r="AD165" s="36">
        <v>21</v>
      </c>
      <c r="AE165" s="36">
        <f>G165*0</f>
        <v>0</v>
      </c>
      <c r="AF165" s="36">
        <f>G165*(1-0)</f>
        <v>0</v>
      </c>
      <c r="AM165" s="36">
        <f>F165*AE165</f>
        <v>0</v>
      </c>
      <c r="AN165" s="36">
        <f>F165*AF165</f>
        <v>0</v>
      </c>
      <c r="AO165" s="37" t="s">
        <v>394</v>
      </c>
      <c r="AP165" s="37" t="s">
        <v>404</v>
      </c>
      <c r="AQ165" s="29" t="s">
        <v>405</v>
      </c>
    </row>
    <row r="166" spans="4:6" ht="12.75">
      <c r="D166" s="15" t="s">
        <v>325</v>
      </c>
      <c r="F166" s="20">
        <v>9</v>
      </c>
    </row>
    <row r="167" spans="1:43" ht="12.75">
      <c r="A167" s="6" t="s">
        <v>85</v>
      </c>
      <c r="B167" s="6"/>
      <c r="C167" s="6" t="s">
        <v>174</v>
      </c>
      <c r="D167" s="6" t="s">
        <v>326</v>
      </c>
      <c r="E167" s="6" t="s">
        <v>338</v>
      </c>
      <c r="F167" s="21">
        <v>9</v>
      </c>
      <c r="G167" s="21">
        <v>0</v>
      </c>
      <c r="H167" s="21">
        <f>F167*AE167</f>
        <v>0</v>
      </c>
      <c r="I167" s="21">
        <f>J167-H167</f>
        <v>0</v>
      </c>
      <c r="J167" s="21">
        <f>F167*G167</f>
        <v>0</v>
      </c>
      <c r="K167" s="21">
        <v>0</v>
      </c>
      <c r="L167" s="21">
        <f>F167*K167</f>
        <v>0</v>
      </c>
      <c r="M167" s="33"/>
      <c r="N167" s="33" t="s">
        <v>359</v>
      </c>
      <c r="O167" s="21">
        <f>IF(N167="5",I167,0)</f>
        <v>0</v>
      </c>
      <c r="Z167" s="21">
        <f>IF(AD167=0,J167,0)</f>
        <v>0</v>
      </c>
      <c r="AA167" s="21">
        <f>IF(AD167=15,J167,0)</f>
        <v>0</v>
      </c>
      <c r="AB167" s="21">
        <f>IF(AD167=21,J167,0)</f>
        <v>0</v>
      </c>
      <c r="AD167" s="36">
        <v>21</v>
      </c>
      <c r="AE167" s="36">
        <f>G167*1</f>
        <v>0</v>
      </c>
      <c r="AF167" s="36">
        <f>G167*(1-1)</f>
        <v>0</v>
      </c>
      <c r="AM167" s="36">
        <f>F167*AE167</f>
        <v>0</v>
      </c>
      <c r="AN167" s="36">
        <f>F167*AF167</f>
        <v>0</v>
      </c>
      <c r="AO167" s="37" t="s">
        <v>394</v>
      </c>
      <c r="AP167" s="37" t="s">
        <v>404</v>
      </c>
      <c r="AQ167" s="29" t="s">
        <v>405</v>
      </c>
    </row>
    <row r="168" spans="4:6" ht="12.75">
      <c r="D168" s="15" t="s">
        <v>325</v>
      </c>
      <c r="F168" s="20">
        <v>9</v>
      </c>
    </row>
    <row r="169" spans="1:37" ht="12.75">
      <c r="A169" s="5"/>
      <c r="B169" s="13"/>
      <c r="C169" s="13" t="s">
        <v>175</v>
      </c>
      <c r="D169" s="113" t="s">
        <v>327</v>
      </c>
      <c r="E169" s="114"/>
      <c r="F169" s="114"/>
      <c r="G169" s="114"/>
      <c r="H169" s="39">
        <f>SUM(H170:H172)</f>
        <v>0</v>
      </c>
      <c r="I169" s="39">
        <f>SUM(I170:I172)</f>
        <v>0</v>
      </c>
      <c r="J169" s="39">
        <f>H169+I169</f>
        <v>0</v>
      </c>
      <c r="K169" s="29"/>
      <c r="L169" s="39">
        <f>SUM(L170:L172)</f>
        <v>1.19241</v>
      </c>
      <c r="M169" s="29"/>
      <c r="P169" s="39">
        <f>IF(Q169="PR",J169,SUM(O170:O172))</f>
        <v>0</v>
      </c>
      <c r="Q169" s="29" t="s">
        <v>364</v>
      </c>
      <c r="R169" s="39">
        <f>IF(Q169="HS",H169,0)</f>
        <v>0</v>
      </c>
      <c r="S169" s="39">
        <f>IF(Q169="HS",I169-P169,0)</f>
        <v>0</v>
      </c>
      <c r="T169" s="39">
        <f>IF(Q169="PS",H169,0)</f>
        <v>0</v>
      </c>
      <c r="U169" s="39">
        <f>IF(Q169="PS",I169-P169,0)</f>
        <v>0</v>
      </c>
      <c r="V169" s="39">
        <f>IF(Q169="MP",H169,0)</f>
        <v>0</v>
      </c>
      <c r="W169" s="39">
        <f>IF(Q169="MP",I169-P169,0)</f>
        <v>0</v>
      </c>
      <c r="X169" s="39">
        <f>IF(Q169="OM",H169,0)</f>
        <v>0</v>
      </c>
      <c r="Y169" s="29"/>
      <c r="AI169" s="39">
        <f>SUM(Z170:Z172)</f>
        <v>0</v>
      </c>
      <c r="AJ169" s="39">
        <f>SUM(AA170:AA172)</f>
        <v>0</v>
      </c>
      <c r="AK169" s="39">
        <f>SUM(AB170:AB172)</f>
        <v>0</v>
      </c>
    </row>
    <row r="170" spans="1:43" ht="12.75">
      <c r="A170" s="4" t="s">
        <v>86</v>
      </c>
      <c r="B170" s="4"/>
      <c r="C170" s="4" t="s">
        <v>176</v>
      </c>
      <c r="D170" s="4" t="s">
        <v>328</v>
      </c>
      <c r="E170" s="4" t="s">
        <v>338</v>
      </c>
      <c r="F170" s="19">
        <v>9</v>
      </c>
      <c r="G170" s="19">
        <v>0</v>
      </c>
      <c r="H170" s="19">
        <f>F170*AE170</f>
        <v>0</v>
      </c>
      <c r="I170" s="19">
        <f>J170-H170</f>
        <v>0</v>
      </c>
      <c r="J170" s="19">
        <f>F170*G170</f>
        <v>0</v>
      </c>
      <c r="K170" s="19">
        <v>0.13243</v>
      </c>
      <c r="L170" s="19">
        <f>F170*K170</f>
        <v>1.19187</v>
      </c>
      <c r="M170" s="32" t="s">
        <v>358</v>
      </c>
      <c r="N170" s="32" t="s">
        <v>8</v>
      </c>
      <c r="O170" s="19">
        <f>IF(N170="5",I170,0)</f>
        <v>0</v>
      </c>
      <c r="Z170" s="19">
        <f>IF(AD170=0,J170,0)</f>
        <v>0</v>
      </c>
      <c r="AA170" s="19">
        <f>IF(AD170=15,J170,0)</f>
        <v>0</v>
      </c>
      <c r="AB170" s="19">
        <f>IF(AD170=21,J170,0)</f>
        <v>0</v>
      </c>
      <c r="AD170" s="36">
        <v>21</v>
      </c>
      <c r="AE170" s="36">
        <f>G170*0.691437802907916</f>
        <v>0</v>
      </c>
      <c r="AF170" s="36">
        <f>G170*(1-0.691437802907916)</f>
        <v>0</v>
      </c>
      <c r="AM170" s="36">
        <f>F170*AE170</f>
        <v>0</v>
      </c>
      <c r="AN170" s="36">
        <f>F170*AF170</f>
        <v>0</v>
      </c>
      <c r="AO170" s="37" t="s">
        <v>395</v>
      </c>
      <c r="AP170" s="37" t="s">
        <v>404</v>
      </c>
      <c r="AQ170" s="29" t="s">
        <v>405</v>
      </c>
    </row>
    <row r="171" spans="4:6" ht="12.75">
      <c r="D171" s="15" t="s">
        <v>325</v>
      </c>
      <c r="F171" s="20">
        <v>9</v>
      </c>
    </row>
    <row r="172" spans="1:43" ht="12.75">
      <c r="A172" s="4" t="s">
        <v>87</v>
      </c>
      <c r="B172" s="4"/>
      <c r="C172" s="4" t="s">
        <v>177</v>
      </c>
      <c r="D172" s="4" t="s">
        <v>329</v>
      </c>
      <c r="E172" s="4" t="s">
        <v>338</v>
      </c>
      <c r="F172" s="19">
        <v>9</v>
      </c>
      <c r="G172" s="19">
        <v>0</v>
      </c>
      <c r="H172" s="19">
        <f>F172*AE172</f>
        <v>0</v>
      </c>
      <c r="I172" s="19">
        <f>J172-H172</f>
        <v>0</v>
      </c>
      <c r="J172" s="19">
        <f>F172*G172</f>
        <v>0</v>
      </c>
      <c r="K172" s="19">
        <v>6E-05</v>
      </c>
      <c r="L172" s="19">
        <f>F172*K172</f>
        <v>0.00054</v>
      </c>
      <c r="M172" s="32" t="s">
        <v>358</v>
      </c>
      <c r="N172" s="32" t="s">
        <v>8</v>
      </c>
      <c r="O172" s="19">
        <f>IF(N172="5",I172,0)</f>
        <v>0</v>
      </c>
      <c r="Z172" s="19">
        <f>IF(AD172=0,J172,0)</f>
        <v>0</v>
      </c>
      <c r="AA172" s="19">
        <f>IF(AD172=15,J172,0)</f>
        <v>0</v>
      </c>
      <c r="AB172" s="19">
        <f>IF(AD172=21,J172,0)</f>
        <v>0</v>
      </c>
      <c r="AD172" s="36">
        <v>21</v>
      </c>
      <c r="AE172" s="36">
        <f>G172*0.388888888888889</f>
        <v>0</v>
      </c>
      <c r="AF172" s="36">
        <f>G172*(1-0.388888888888889)</f>
        <v>0</v>
      </c>
      <c r="AM172" s="36">
        <f>F172*AE172</f>
        <v>0</v>
      </c>
      <c r="AN172" s="36">
        <f>F172*AF172</f>
        <v>0</v>
      </c>
      <c r="AO172" s="37" t="s">
        <v>395</v>
      </c>
      <c r="AP172" s="37" t="s">
        <v>404</v>
      </c>
      <c r="AQ172" s="29" t="s">
        <v>405</v>
      </c>
    </row>
    <row r="173" spans="1:13" ht="12.75">
      <c r="A173" s="7"/>
      <c r="B173" s="7"/>
      <c r="C173" s="7"/>
      <c r="D173" s="16" t="s">
        <v>325</v>
      </c>
      <c r="E173" s="7"/>
      <c r="F173" s="22">
        <v>9</v>
      </c>
      <c r="G173" s="7"/>
      <c r="H173" s="7"/>
      <c r="I173" s="7"/>
      <c r="J173" s="7"/>
      <c r="K173" s="7"/>
      <c r="L173" s="7"/>
      <c r="M173" s="7"/>
    </row>
    <row r="174" spans="1:28" ht="12.75">
      <c r="A174" s="8"/>
      <c r="B174" s="8"/>
      <c r="C174" s="8"/>
      <c r="D174" s="8"/>
      <c r="E174" s="8"/>
      <c r="F174" s="8"/>
      <c r="G174" s="8"/>
      <c r="H174" s="112" t="s">
        <v>347</v>
      </c>
      <c r="I174" s="101"/>
      <c r="J174" s="40">
        <f>J12+J23+J26+J31+J35+J44+J46+J50+J54+J62+J65+J70+J73+J79+J82+J87+J93+J96+J105+J123+J128+J161+J164+J169</f>
        <v>0</v>
      </c>
      <c r="K174" s="8"/>
      <c r="L174" s="8"/>
      <c r="M174" s="8"/>
      <c r="Z174" s="41">
        <f>SUM(Z13:Z173)</f>
        <v>0</v>
      </c>
      <c r="AA174" s="41">
        <f>SUM(AA13:AA173)</f>
        <v>0</v>
      </c>
      <c r="AB174" s="41">
        <f>SUM(AB13:AB173)</f>
        <v>0</v>
      </c>
    </row>
    <row r="175" ht="11.25" customHeight="1">
      <c r="A175" s="9" t="s">
        <v>88</v>
      </c>
    </row>
    <row r="176" spans="1:13" ht="409.5" customHeight="1" hidden="1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</row>
  </sheetData>
  <sheetProtection/>
  <mergeCells count="53">
    <mergeCell ref="A1:M1"/>
    <mergeCell ref="A2:C3"/>
    <mergeCell ref="D2:D3"/>
    <mergeCell ref="E2:F3"/>
    <mergeCell ref="G2:H3"/>
    <mergeCell ref="I2:I3"/>
    <mergeCell ref="J2:M3"/>
    <mergeCell ref="I6:I7"/>
    <mergeCell ref="J6:M7"/>
    <mergeCell ref="A4:C5"/>
    <mergeCell ref="D4:D5"/>
    <mergeCell ref="E4:F5"/>
    <mergeCell ref="G4:H5"/>
    <mergeCell ref="A8:C9"/>
    <mergeCell ref="D8:D9"/>
    <mergeCell ref="E8:F9"/>
    <mergeCell ref="G8:H9"/>
    <mergeCell ref="I4:I5"/>
    <mergeCell ref="J4:M5"/>
    <mergeCell ref="A6:C7"/>
    <mergeCell ref="D6:D7"/>
    <mergeCell ref="E6:F7"/>
    <mergeCell ref="G6:H7"/>
    <mergeCell ref="D12:G12"/>
    <mergeCell ref="D23:G23"/>
    <mergeCell ref="D26:G26"/>
    <mergeCell ref="D31:G31"/>
    <mergeCell ref="I8:I9"/>
    <mergeCell ref="J8:M9"/>
    <mergeCell ref="H10:J10"/>
    <mergeCell ref="K10:L10"/>
    <mergeCell ref="D54:G54"/>
    <mergeCell ref="D62:G62"/>
    <mergeCell ref="D65:G65"/>
    <mergeCell ref="D70:G70"/>
    <mergeCell ref="D35:G35"/>
    <mergeCell ref="D44:G44"/>
    <mergeCell ref="D46:G46"/>
    <mergeCell ref="D50:G50"/>
    <mergeCell ref="D93:G93"/>
    <mergeCell ref="D96:G96"/>
    <mergeCell ref="D105:G105"/>
    <mergeCell ref="D123:G123"/>
    <mergeCell ref="D73:G73"/>
    <mergeCell ref="D79:G79"/>
    <mergeCell ref="D82:G82"/>
    <mergeCell ref="D87:G87"/>
    <mergeCell ref="H174:I174"/>
    <mergeCell ref="A176:M176"/>
    <mergeCell ref="D128:G128"/>
    <mergeCell ref="D161:G161"/>
    <mergeCell ref="D164:G164"/>
    <mergeCell ref="D169:G16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Hadrava</cp:lastModifiedBy>
  <dcterms:created xsi:type="dcterms:W3CDTF">2016-07-22T07:18:22Z</dcterms:created>
  <dcterms:modified xsi:type="dcterms:W3CDTF">2016-07-25T10:16:03Z</dcterms:modified>
  <cp:category/>
  <cp:version/>
  <cp:contentType/>
  <cp:contentStatus/>
</cp:coreProperties>
</file>