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37" activeTab="0"/>
  </bookViews>
  <sheets>
    <sheet name="Rekapitulace" sheetId="1" r:id="rId1"/>
    <sheet name="SO 101 Stavebni_REK" sheetId="2" r:id="rId2"/>
    <sheet name="ZTI_NOVÝ" sheetId="3" r:id="rId3"/>
    <sheet name="ÚT_NOVÝ" sheetId="4" r:id="rId4"/>
    <sheet name="VZT_NOVÝ" sheetId="5" r:id="rId5"/>
    <sheet name="VRN" sheetId="6" r:id="rId6"/>
    <sheet name="SO 102" sheetId="7" r:id="rId7"/>
    <sheet name="SO 103" sheetId="8" r:id="rId8"/>
    <sheet name="SO 104" sheetId="9" r:id="rId9"/>
    <sheet name="VRN-komentář" sheetId="10" r:id="rId10"/>
    <sheet name="Rozpočet-poznámky" sheetId="11" r:id="rId11"/>
  </sheets>
  <externalReferences>
    <externalReference r:id="rId14"/>
    <externalReference r:id="rId15"/>
    <externalReference r:id="rId16"/>
    <externalReference r:id="rId17"/>
  </externalReferences>
  <definedNames>
    <definedName name="_dph1" localSheetId="0">#REF!</definedName>
    <definedName name="_dph1" localSheetId="10">#REF!</definedName>
    <definedName name="_dph1" localSheetId="5">#REF!</definedName>
    <definedName name="_dph1" localSheetId="9">#REF!</definedName>
    <definedName name="_dph1" localSheetId="2">#REF!</definedName>
    <definedName name="_dph1">#REF!</definedName>
    <definedName name="_dph2" localSheetId="0">#REF!</definedName>
    <definedName name="_dph2" localSheetId="10">#REF!</definedName>
    <definedName name="_dph2" localSheetId="5">#REF!</definedName>
    <definedName name="_dph2" localSheetId="9">#REF!</definedName>
    <definedName name="_dph2" localSheetId="2">#REF!</definedName>
    <definedName name="_dph2">#REF!</definedName>
    <definedName name="_dph3" localSheetId="0">#REF!</definedName>
    <definedName name="_dph3" localSheetId="10">#REF!</definedName>
    <definedName name="_dph3" localSheetId="5">#REF!</definedName>
    <definedName name="_dph3" localSheetId="9">#REF!</definedName>
    <definedName name="_dph3" localSheetId="2">#REF!</definedName>
    <definedName name="_dph3">#REF!</definedName>
    <definedName name="_pol1" localSheetId="0">#REF!</definedName>
    <definedName name="_pol1" localSheetId="10">#REF!</definedName>
    <definedName name="_pol1" localSheetId="1">'[3]EPS'!#REF!</definedName>
    <definedName name="_pol1" localSheetId="5">#REF!</definedName>
    <definedName name="_pol1" localSheetId="9">#REF!</definedName>
    <definedName name="_pol1" localSheetId="2">'[4]EPS'!#REF!</definedName>
    <definedName name="_pol1">#REF!</definedName>
    <definedName name="_pol2" localSheetId="0">#REF!</definedName>
    <definedName name="_pol2" localSheetId="10">#REF!</definedName>
    <definedName name="_pol2" localSheetId="1">'[3]EPS'!#REF!</definedName>
    <definedName name="_pol2" localSheetId="5">#REF!</definedName>
    <definedName name="_pol2" localSheetId="9">#REF!</definedName>
    <definedName name="_pol2" localSheetId="2">'[4]EPS'!#REF!</definedName>
    <definedName name="_pol2">#REF!</definedName>
    <definedName name="_pol3" localSheetId="0">#REF!</definedName>
    <definedName name="_pol3" localSheetId="10">#REF!</definedName>
    <definedName name="_pol3" localSheetId="1">'[3]EPS'!#REF!</definedName>
    <definedName name="_pol3" localSheetId="5">#REF!</definedName>
    <definedName name="_pol3" localSheetId="9">#REF!</definedName>
    <definedName name="_pol3" localSheetId="2">'[4]EPS'!#REF!</definedName>
    <definedName name="_pol3">#REF!</definedName>
    <definedName name="cisloobjektu">#REF!</definedName>
    <definedName name="cislostavby">#REF!</definedName>
    <definedName name="Datum">#REF!</definedName>
    <definedName name="Dil">#REF!</definedName>
    <definedName name="Dodavka">#REF!</definedName>
    <definedName name="Dodavka0" localSheetId="0">#REF!</definedName>
    <definedName name="Dodavka0" localSheetId="10">#REF!</definedName>
    <definedName name="Dodavka0" localSheetId="1">'[3]SO 108'!#REF!</definedName>
    <definedName name="Dodavka0" localSheetId="5">'VRN'!#REF!</definedName>
    <definedName name="Dodavka0" localSheetId="9">'VRN-komentář'!#REF!</definedName>
    <definedName name="Dodavka0" localSheetId="2">#REF!</definedName>
    <definedName name="Dodavka0">#REF!</definedName>
    <definedName name="footer" localSheetId="0">#REF!</definedName>
    <definedName name="footer" localSheetId="10">#REF!</definedName>
    <definedName name="footer" localSheetId="5">#REF!</definedName>
    <definedName name="footer" localSheetId="9">#REF!</definedName>
    <definedName name="footer" localSheetId="2">#REF!</definedName>
    <definedName name="footer">#REF!</definedName>
    <definedName name="footer2" localSheetId="0">#REF!</definedName>
    <definedName name="footer2" localSheetId="10">#REF!</definedName>
    <definedName name="footer2" localSheetId="1">'[3]EPS'!#REF!</definedName>
    <definedName name="footer2" localSheetId="5">#REF!</definedName>
    <definedName name="footer2" localSheetId="9">#REF!</definedName>
    <definedName name="footer2" localSheetId="2">'[4]EPS'!#REF!</definedName>
    <definedName name="footer2">#REF!</definedName>
    <definedName name="head1" localSheetId="0">#REF!</definedName>
    <definedName name="head1" localSheetId="10">#REF!</definedName>
    <definedName name="head1" localSheetId="5">#REF!</definedName>
    <definedName name="head1" localSheetId="9">#REF!</definedName>
    <definedName name="head1" localSheetId="2">#REF!</definedName>
    <definedName name="head1">#REF!</definedName>
    <definedName name="Header" localSheetId="0">#REF!</definedName>
    <definedName name="Header" localSheetId="10">#REF!</definedName>
    <definedName name="Header" localSheetId="5">#REF!</definedName>
    <definedName name="Header" localSheetId="9">#REF!</definedName>
    <definedName name="Header" localSheetId="2">#REF!</definedName>
    <definedName name="Header">#REF!</definedName>
    <definedName name="Header2" localSheetId="0">#REF!</definedName>
    <definedName name="Header2" localSheetId="10">#REF!</definedName>
    <definedName name="Header2" localSheetId="1">'[3]EPS'!#REF!</definedName>
    <definedName name="Header2" localSheetId="5">#REF!</definedName>
    <definedName name="Header2" localSheetId="9">#REF!</definedName>
    <definedName name="Header2" localSheetId="2">'[4]EPS'!#REF!</definedName>
    <definedName name="Header2">#REF!</definedName>
    <definedName name="Hlava1" localSheetId="0">#REF!</definedName>
    <definedName name="Hlava1" localSheetId="10">#REF!</definedName>
    <definedName name="Hlava1" localSheetId="5">#REF!</definedName>
    <definedName name="Hlava1" localSheetId="9">#REF!</definedName>
    <definedName name="Hlava1" localSheetId="2">#REF!</definedName>
    <definedName name="Hlava1">#REF!</definedName>
    <definedName name="Hlava2" localSheetId="0">#REF!</definedName>
    <definedName name="Hlava2" localSheetId="10">#REF!</definedName>
    <definedName name="Hlava2" localSheetId="5">#REF!</definedName>
    <definedName name="Hlava2" localSheetId="9">#REF!</definedName>
    <definedName name="Hlava2" localSheetId="2">#REF!</definedName>
    <definedName name="Hlava2">#REF!</definedName>
    <definedName name="Hlava3" localSheetId="0">#REF!</definedName>
    <definedName name="Hlava3" localSheetId="10">#REF!</definedName>
    <definedName name="Hlava3" localSheetId="5">#REF!</definedName>
    <definedName name="Hlava3" localSheetId="9">#REF!</definedName>
    <definedName name="Hlava3" localSheetId="2">#REF!</definedName>
    <definedName name="Hlava3">#REF!</definedName>
    <definedName name="Hlava4" localSheetId="0">#REF!</definedName>
    <definedName name="Hlava4" localSheetId="10">#REF!</definedName>
    <definedName name="Hlava4" localSheetId="5">#REF!</definedName>
    <definedName name="Hlava4" localSheetId="9">#REF!</definedName>
    <definedName name="Hlava4" localSheetId="2">#REF!</definedName>
    <definedName name="Hlava4">#REF!</definedName>
    <definedName name="HSV">#REF!</definedName>
    <definedName name="HSV0" localSheetId="0">#REF!</definedName>
    <definedName name="HSV0" localSheetId="10">#REF!</definedName>
    <definedName name="HSV0" localSheetId="1">'[3]SO 108'!#REF!</definedName>
    <definedName name="HSV0" localSheetId="5">'VRN'!#REF!</definedName>
    <definedName name="HSV0" localSheetId="9">'VRN-komentář'!#REF!</definedName>
    <definedName name="HSV0" localSheetId="2">#REF!</definedName>
    <definedName name="HSV0">#REF!</definedName>
    <definedName name="HZS">#REF!</definedName>
    <definedName name="HZS0" localSheetId="0">#REF!</definedName>
    <definedName name="HZS0" localSheetId="10">#REF!</definedName>
    <definedName name="HZS0" localSheetId="1">'[3]SO 108'!#REF!</definedName>
    <definedName name="HZS0" localSheetId="5">'VRN'!#REF!</definedName>
    <definedName name="HZS0" localSheetId="9">'VRN-komentář'!#REF!</definedName>
    <definedName name="HZS0" localSheetId="2">#REF!</definedName>
    <definedName name="HZS0">#REF!</definedName>
    <definedName name="JKSO">#REF!</definedName>
    <definedName name="MJ">#REF!</definedName>
    <definedName name="Mont">#REF!</definedName>
    <definedName name="Montaz0" localSheetId="0">#REF!</definedName>
    <definedName name="Montaz0" localSheetId="10">#REF!</definedName>
    <definedName name="Montaz0" localSheetId="1">'[3]SO 108'!#REF!</definedName>
    <definedName name="Montaz0" localSheetId="5">'VRN'!#REF!</definedName>
    <definedName name="Montaz0" localSheetId="9">'VRN-komentář'!#REF!</definedName>
    <definedName name="Montaz0" localSheetId="2">#REF!</definedName>
    <definedName name="Montaz0">#REF!</definedName>
    <definedName name="NazevDilu">#REF!</definedName>
    <definedName name="nazevobjektu">#REF!</definedName>
    <definedName name="nazevstavby">#REF!</definedName>
    <definedName name="_xlnm.Print_Titles" localSheetId="5">'VRN'!$3:$4</definedName>
    <definedName name="_xlnm.Print_Titles" localSheetId="9">'VRN-komentář'!$3:$4</definedName>
    <definedName name="Objednatel">#REF!</definedName>
    <definedName name="_xlnm.Print_Area" localSheetId="0">'Rekapitulace'!$A$1:$D$51</definedName>
    <definedName name="_xlnm.Print_Area" localSheetId="1">'SO 101 Stavebni_REK'!$A$1:$M$776</definedName>
    <definedName name="_xlnm.Print_Area" localSheetId="6">'SO 102'!$A$1:$I$44</definedName>
    <definedName name="_xlnm.Print_Area" localSheetId="7">'SO 103'!$A$1:$I$73</definedName>
    <definedName name="_xlnm.Print_Area" localSheetId="8">'SO 104'!$A$1:$I$104</definedName>
    <definedName name="_xlnm.Print_Area" localSheetId="5">'VRN'!$A$1:$I$26</definedName>
    <definedName name="_xlnm.Print_Area" localSheetId="4">'VZT_NOVÝ'!$A$1:$K$436</definedName>
    <definedName name="_xlnm.Print_Area" localSheetId="2">'ZTI_NOVÝ'!$A$1:$I$52</definedName>
    <definedName name="PocetMJ">#REF!</definedName>
    <definedName name="polbezcen1" localSheetId="0">#REF!</definedName>
    <definedName name="polbezcen1" localSheetId="10">#REF!</definedName>
    <definedName name="polbezcen1" localSheetId="1">'[3]EPS'!#REF!</definedName>
    <definedName name="polbezcen1" localSheetId="5">#REF!</definedName>
    <definedName name="polbezcen1" localSheetId="9">#REF!</definedName>
    <definedName name="polbezcen1" localSheetId="2">'[4]EPS'!#REF!</definedName>
    <definedName name="polbezcen1">#REF!</definedName>
    <definedName name="polcen2" localSheetId="0">#REF!</definedName>
    <definedName name="polcen2" localSheetId="10">#REF!</definedName>
    <definedName name="polcen2" localSheetId="1">'[3]EPS'!#REF!</definedName>
    <definedName name="polcen2" localSheetId="5">#REF!</definedName>
    <definedName name="polcen2" localSheetId="9">#REF!</definedName>
    <definedName name="polcen2" localSheetId="2">'[4]EPS'!#REF!</definedName>
    <definedName name="polcen2">#REF!</definedName>
    <definedName name="polcen3" localSheetId="0">#REF!</definedName>
    <definedName name="polcen3" localSheetId="10">#REF!</definedName>
    <definedName name="polcen3" localSheetId="1">'[3]EPS'!#REF!</definedName>
    <definedName name="polcen3" localSheetId="5">#REF!</definedName>
    <definedName name="polcen3" localSheetId="9">#REF!</definedName>
    <definedName name="polcen3" localSheetId="2">'[4]EPS'!#REF!</definedName>
    <definedName name="polcen3">#REF!</definedName>
    <definedName name="Poznamka">#REF!</definedName>
    <definedName name="Projektant">#REF!</definedName>
    <definedName name="PSV">#REF!</definedName>
    <definedName name="PSV0" localSheetId="0">#REF!</definedName>
    <definedName name="PSV0" localSheetId="10">#REF!</definedName>
    <definedName name="PSV0" localSheetId="1">'[3]SO 108'!#REF!</definedName>
    <definedName name="PSV0" localSheetId="5">'VRN'!#REF!</definedName>
    <definedName name="PSV0" localSheetId="9">'VRN-komentář'!#REF!</definedName>
    <definedName name="PSV0" localSheetId="2">#REF!</definedName>
    <definedName name="PSV0">#REF!</definedName>
    <definedName name="SloupecCC" localSheetId="5">'VRN'!$G$4</definedName>
    <definedName name="SloupecCC" localSheetId="9">'VRN-komentář'!#REF!</definedName>
    <definedName name="SloupecCC" localSheetId="2">#REF!</definedName>
    <definedName name="SloupecCC">#REF!</definedName>
    <definedName name="SloupecCisloPol" localSheetId="5">'VRN'!$B$4</definedName>
    <definedName name="SloupecCisloPol" localSheetId="9">'VRN-komentář'!#REF!</definedName>
    <definedName name="SloupecCisloPol" localSheetId="2">#REF!</definedName>
    <definedName name="SloupecCisloPol">#REF!</definedName>
    <definedName name="SloupecJC" localSheetId="5">'VRN'!$F$4</definedName>
    <definedName name="SloupecJC" localSheetId="9">'VRN-komentář'!#REF!</definedName>
    <definedName name="SloupecJC" localSheetId="2">#REF!</definedName>
    <definedName name="SloupecJC">#REF!</definedName>
    <definedName name="SloupecMJ" localSheetId="5">'VRN'!$D$4</definedName>
    <definedName name="SloupecMJ" localSheetId="9">'VRN-komentář'!#REF!</definedName>
    <definedName name="SloupecMJ" localSheetId="2">#REF!</definedName>
    <definedName name="SloupecMJ">#REF!</definedName>
    <definedName name="SloupecMnozstvi" localSheetId="5">'VRN'!$E$4</definedName>
    <definedName name="SloupecMnozstvi" localSheetId="9">'VRN-komentář'!#REF!</definedName>
    <definedName name="SloupecMnozstvi" localSheetId="2">#REF!</definedName>
    <definedName name="SloupecMnozstvi">#REF!</definedName>
    <definedName name="SloupecNazPol" localSheetId="5">'VRN'!$C$4</definedName>
    <definedName name="SloupecNazPol" localSheetId="9">'VRN-komentář'!#REF!</definedName>
    <definedName name="SloupecNazPol" localSheetId="2">#REF!</definedName>
    <definedName name="SloupecNazPol">#REF!</definedName>
    <definedName name="SloupecPC" localSheetId="5">'VRN'!$A$4</definedName>
    <definedName name="SloupecPC" localSheetId="9">'VRN-komentář'!#REF!</definedName>
    <definedName name="SloupecPC" localSheetId="2">#REF!</definedName>
    <definedName name="SloupecPC">#REF!</definedName>
    <definedName name="solver_lin" localSheetId="5" hidden="1">0</definedName>
    <definedName name="solver_lin" localSheetId="9" hidden="1">0</definedName>
    <definedName name="solver_num" localSheetId="5" hidden="1">0</definedName>
    <definedName name="solver_num" localSheetId="9" hidden="1">0</definedName>
    <definedName name="solver_opt" localSheetId="5" hidden="1">'VRN'!#REF!</definedName>
    <definedName name="solver_opt" localSheetId="9" hidden="1">'VRN-komentář'!#REF!</definedName>
    <definedName name="solver_typ" localSheetId="5" hidden="1">1</definedName>
    <definedName name="solver_typ" localSheetId="9" hidden="1">1</definedName>
    <definedName name="solver_val" localSheetId="5" hidden="1">0</definedName>
    <definedName name="solver_val" localSheetId="9" hidden="1">0</definedName>
    <definedName name="Typ" localSheetId="0">#REF!</definedName>
    <definedName name="Typ" localSheetId="10">#REF!</definedName>
    <definedName name="Typ" localSheetId="1">'[3]SO 108'!#REF!</definedName>
    <definedName name="Typ" localSheetId="5">'VRN'!#REF!</definedName>
    <definedName name="Typ" localSheetId="9">'VRN-komentář'!#REF!</definedName>
    <definedName name="Typ" localSheetId="2">#REF!</definedName>
    <definedName name="Typ">#REF!</definedName>
    <definedName name="VRN">#REF!</definedName>
    <definedName name="VRNKc">#REF!</definedName>
    <definedName name="VRNnazev">#REF!</definedName>
    <definedName name="VRNproc">#REF!</definedName>
    <definedName name="VRNzakl">#REF!</definedName>
    <definedName name="Z_7AA52820_53AD_11D6_B11B_00304F0A7829_.wvu.PrintArea" localSheetId="4" hidden="1">'VZT_NOVÝ'!$A$1:$I$109</definedName>
    <definedName name="Z_A11EB0E1_5694_11D6_ABC6_00304F032C47_.wvu.PrintArea" localSheetId="4" hidden="1">'VZT_NOVÝ'!$A$1:$I$109</definedName>
    <definedName name="Zakazka">#REF!</definedName>
    <definedName name="ZakHead" localSheetId="0">#REF!</definedName>
    <definedName name="ZakHead" localSheetId="10">#REF!</definedName>
    <definedName name="ZakHead" localSheetId="5">#REF!</definedName>
    <definedName name="ZakHead" localSheetId="9">#REF!</definedName>
    <definedName name="ZakHead" localSheetId="2">#REF!</definedName>
    <definedName name="ZakHead">#REF!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<sst xmlns="http://schemas.openxmlformats.org/spreadsheetml/2006/main" count="2960" uniqueCount="1741">
  <si>
    <t>011</t>
  </si>
  <si>
    <t>015</t>
  </si>
  <si>
    <t>171201201</t>
  </si>
  <si>
    <t>016</t>
  </si>
  <si>
    <t>Celkem</t>
  </si>
  <si>
    <t>A</t>
  </si>
  <si>
    <t>Stavební část</t>
  </si>
  <si>
    <t>1</t>
  </si>
  <si>
    <t>131201202</t>
  </si>
  <si>
    <t>Hloubení jam strojní tř.1-4</t>
  </si>
  <si>
    <t>132201202</t>
  </si>
  <si>
    <t>Hloubení rýh strojní tř 1-4</t>
  </si>
  <si>
    <t>132201209</t>
  </si>
  <si>
    <t>Příplatek za lepivost</t>
  </si>
  <si>
    <t>Vodorovné přemístění 500 m</t>
  </si>
  <si>
    <t>174101101</t>
  </si>
  <si>
    <t>Zásyp jam, rýh - hutněný</t>
  </si>
  <si>
    <t>2</t>
  </si>
  <si>
    <t>4</t>
  </si>
  <si>
    <t>5</t>
  </si>
  <si>
    <t>Vodorovné konstrukce</t>
  </si>
  <si>
    <t>8</t>
  </si>
  <si>
    <t>9</t>
  </si>
  <si>
    <t>%</t>
  </si>
  <si>
    <t>ÚT</t>
  </si>
  <si>
    <t>ks</t>
  </si>
  <si>
    <t>m2</t>
  </si>
  <si>
    <t>735</t>
  </si>
  <si>
    <t>ROZPOČET</t>
  </si>
  <si>
    <t>P.č.</t>
  </si>
  <si>
    <t>Kód</t>
  </si>
  <si>
    <t>Popis</t>
  </si>
  <si>
    <t>Cena</t>
  </si>
  <si>
    <t>položky</t>
  </si>
  <si>
    <t>jednotková</t>
  </si>
  <si>
    <t>001</t>
  </si>
  <si>
    <t>Zemní práce</t>
  </si>
  <si>
    <t>002</t>
  </si>
  <si>
    <t>003</t>
  </si>
  <si>
    <t>004</t>
  </si>
  <si>
    <t>005</t>
  </si>
  <si>
    <t>006</t>
  </si>
  <si>
    <t>007</t>
  </si>
  <si>
    <t>008</t>
  </si>
  <si>
    <t>009</t>
  </si>
  <si>
    <t>162301101</t>
  </si>
  <si>
    <t>010</t>
  </si>
  <si>
    <t>hod</t>
  </si>
  <si>
    <t>m3</t>
  </si>
  <si>
    <t>012</t>
  </si>
  <si>
    <t>013</t>
  </si>
  <si>
    <t>014</t>
  </si>
  <si>
    <t>SO 102</t>
  </si>
  <si>
    <t>SO 103</t>
  </si>
  <si>
    <t>m</t>
  </si>
  <si>
    <t>kg</t>
  </si>
  <si>
    <t>Zařízení staveniště</t>
  </si>
  <si>
    <t>kmpl</t>
  </si>
  <si>
    <t>PC</t>
  </si>
  <si>
    <t>Uložení sypaniny na meziskládku</t>
  </si>
  <si>
    <t>911231111</t>
  </si>
  <si>
    <t>Komunikace</t>
  </si>
  <si>
    <t>565165121</t>
  </si>
  <si>
    <t>Podklad z obalovaného kameniva ACO 11+ I tl 40 mm</t>
  </si>
  <si>
    <t>A Komunikace, parkoviště - 5214 m2</t>
  </si>
  <si>
    <t>Napoj</t>
  </si>
  <si>
    <t>Napojení na stávající komunikace</t>
  </si>
  <si>
    <t>895941112</t>
  </si>
  <si>
    <t>Přeložení vpusti kanalizační uliční</t>
  </si>
  <si>
    <t>Ostatní konstrukce a práce-bourání</t>
  </si>
  <si>
    <t>ocelové vjezdová brána dvoukřídlá š. 7,5 m</t>
  </si>
  <si>
    <t>Bet.obrubník 1000/150/250mm do bet.lože</t>
  </si>
  <si>
    <t>96</t>
  </si>
  <si>
    <t>Dopravní značení</t>
  </si>
  <si>
    <t>Dodávka,montáž vodorovného DZ plast</t>
  </si>
  <si>
    <t>99</t>
  </si>
  <si>
    <t>Přesun hmot HSV</t>
  </si>
  <si>
    <t>998225111</t>
  </si>
  <si>
    <t>Přesun hmot pro pozemní komunikace a letiště s krytem živičným</t>
  </si>
  <si>
    <t>Hloubení jam strojní tř.1-4 pro šachty</t>
  </si>
  <si>
    <t>151101101</t>
  </si>
  <si>
    <t>Pažení do 2 m - příložné</t>
  </si>
  <si>
    <t>151101111</t>
  </si>
  <si>
    <t>Odstr. pažení do 2 m - příložné</t>
  </si>
  <si>
    <t>151101102</t>
  </si>
  <si>
    <t>Pažení do 4 m - příložné</t>
  </si>
  <si>
    <t>151101112</t>
  </si>
  <si>
    <t>Odstr. pažení do 4 m - příložné</t>
  </si>
  <si>
    <t>199001130</t>
  </si>
  <si>
    <t>175101101</t>
  </si>
  <si>
    <t>Obsyp potrubí</t>
  </si>
  <si>
    <t>583373040</t>
  </si>
  <si>
    <t>Zakládání</t>
  </si>
  <si>
    <t>212752113</t>
  </si>
  <si>
    <t>451573111</t>
  </si>
  <si>
    <t>Lože výkopu ze štěrkopísku</t>
  </si>
  <si>
    <t>871313121</t>
  </si>
  <si>
    <t>286111500</t>
  </si>
  <si>
    <t>871353121</t>
  </si>
  <si>
    <t>286112000</t>
  </si>
  <si>
    <t>871373121</t>
  </si>
  <si>
    <t>286113000</t>
  </si>
  <si>
    <t>286542000</t>
  </si>
  <si>
    <t>286543000</t>
  </si>
  <si>
    <t>894401201</t>
  </si>
  <si>
    <t>592243050</t>
  </si>
  <si>
    <t>894401202</t>
  </si>
  <si>
    <t>Osaz. šacht. skruží DIN h=500</t>
  </si>
  <si>
    <t>592243060</t>
  </si>
  <si>
    <t>894401203</t>
  </si>
  <si>
    <t>Osaz. šacht. skruží DIN h=1000</t>
  </si>
  <si>
    <t>592243070</t>
  </si>
  <si>
    <t>894401204</t>
  </si>
  <si>
    <t>Osaz. šacht. konusu DIN</t>
  </si>
  <si>
    <t>894401205</t>
  </si>
  <si>
    <t>Osazení šacht. dna do DN 400</t>
  </si>
  <si>
    <t>017</t>
  </si>
  <si>
    <t>592243360</t>
  </si>
  <si>
    <t>018</t>
  </si>
  <si>
    <t>894401207</t>
  </si>
  <si>
    <t>Osaz B prstenců výšky do 100mm</t>
  </si>
  <si>
    <t>019</t>
  </si>
  <si>
    <t>592243190</t>
  </si>
  <si>
    <t>020</t>
  </si>
  <si>
    <t>592243200</t>
  </si>
  <si>
    <t>021</t>
  </si>
  <si>
    <t>592243210</t>
  </si>
  <si>
    <t>022</t>
  </si>
  <si>
    <t>592243230</t>
  </si>
  <si>
    <t>023</t>
  </si>
  <si>
    <t>592243240</t>
  </si>
  <si>
    <t>024</t>
  </si>
  <si>
    <t>899104111</t>
  </si>
  <si>
    <t>Osaz poklopu s rámem nad 150kg</t>
  </si>
  <si>
    <t>025</t>
  </si>
  <si>
    <t>552434420</t>
  </si>
  <si>
    <t>026</t>
  </si>
  <si>
    <t>892450001</t>
  </si>
  <si>
    <t>Zkouška vodotěsnosti do DN300-úsek</t>
  </si>
  <si>
    <t>027</t>
  </si>
  <si>
    <t>892451111</t>
  </si>
  <si>
    <t>028</t>
  </si>
  <si>
    <t>892452222</t>
  </si>
  <si>
    <t>Ostatní konstrukce a práce</t>
  </si>
  <si>
    <t>900000001</t>
  </si>
  <si>
    <t>Geodetické práce-vytyčení</t>
  </si>
  <si>
    <t>D004</t>
  </si>
  <si>
    <t>115101201</t>
  </si>
  <si>
    <t>Čerpání vody</t>
  </si>
  <si>
    <t>115101301</t>
  </si>
  <si>
    <t>Pohotovost čerpadla</t>
  </si>
  <si>
    <t>D.</t>
  </si>
  <si>
    <t>115pc</t>
  </si>
  <si>
    <t>Čerpací studna pr.1000mm, hl.1m</t>
  </si>
  <si>
    <t>Drcený štěrk tl. 200 mm s geotextílií 300 g dole a nahoře</t>
  </si>
  <si>
    <t>991 pc</t>
  </si>
  <si>
    <t>Odvětrání šachty</t>
  </si>
  <si>
    <t>933901111</t>
  </si>
  <si>
    <t>Osaz. šacht. skruží DIN h=250</t>
  </si>
  <si>
    <t>S0 104</t>
  </si>
  <si>
    <t>Z005</t>
  </si>
  <si>
    <t>ORL</t>
  </si>
  <si>
    <t>podkladní beton pod nádrž ORL tl.150 mm beton C15/20</t>
  </si>
  <si>
    <t>vyrovnání a hutnění terénu s podsypem štěrkem drceným</t>
  </si>
  <si>
    <t>Osaz ORL, zastropení, vlezu a poklopu</t>
  </si>
  <si>
    <t>899102111</t>
  </si>
  <si>
    <t>Osaz poklopů s rámem do 100kg</t>
  </si>
  <si>
    <t>553402950</t>
  </si>
  <si>
    <t>899501211</t>
  </si>
  <si>
    <t>Stupadla vidlic osaz vynech otvorů</t>
  </si>
  <si>
    <t>592243130</t>
  </si>
  <si>
    <t>Zkouška a naplnění nádrže vodou</t>
  </si>
  <si>
    <t>SO104</t>
  </si>
  <si>
    <t>Číslo položky</t>
  </si>
  <si>
    <t>Název položky</t>
  </si>
  <si>
    <t>MJ</t>
  </si>
  <si>
    <t>množství</t>
  </si>
  <si>
    <t>cena / MJ</t>
  </si>
  <si>
    <t>kus</t>
  </si>
  <si>
    <t>R01</t>
  </si>
  <si>
    <t>Jedn. cena</t>
  </si>
  <si>
    <t>SANATORIUM ZÁBŘEH</t>
  </si>
  <si>
    <t>bm</t>
  </si>
  <si>
    <t>asfaltový spojovací postřik 0,5 - 0,7 kg/m2</t>
  </si>
  <si>
    <t>m.j.</t>
  </si>
  <si>
    <t>množství celkem</t>
  </si>
  <si>
    <t>KAmEROVÁ ZKOUŠKA</t>
  </si>
  <si>
    <t>RECYKLÁt pro zásyp rýhy pod komunikací</t>
  </si>
  <si>
    <t>t</t>
  </si>
  <si>
    <t>StERKOPISEK 0-16 B A</t>
  </si>
  <si>
    <t>trativod drenážní po obvodu budovy PVC trubky do DN 100</t>
  </si>
  <si>
    <t>trubní vedení</t>
  </si>
  <si>
    <t>tRUBKA KANAL SN8 UR1 DN 160/6000</t>
  </si>
  <si>
    <t>tRUBKA KANAL SN8 UR1 DN 200/6000</t>
  </si>
  <si>
    <t>tRUBKA KANAL SN8 UR1 DN 315/6000</t>
  </si>
  <si>
    <t>SACHt. VLOZKA SN8 URU DN 200</t>
  </si>
  <si>
    <t>SACHt. VLOZKA SN8 URU DN 315</t>
  </si>
  <si>
    <t>SACHt. VLOZKA SN8 URU DN 150</t>
  </si>
  <si>
    <t>SACHt. VLOZKA SN8 URU DN 250</t>
  </si>
  <si>
    <t>DNO SACH KAN tBZ-Q1 100/80 V30</t>
  </si>
  <si>
    <t>PRStENEC VYROV tBW-Q.1 63/4</t>
  </si>
  <si>
    <t>PRStENEC VYROV tBW-Q.1 63/6</t>
  </si>
  <si>
    <t>PRStENEC VYROV tBW-Q.1 63/8</t>
  </si>
  <si>
    <t>PRStENEC VYROV tBW-Q.1 63/10</t>
  </si>
  <si>
    <t>PRStENEC VYROV tBW-Q.1 63/12</t>
  </si>
  <si>
    <t>POKLOP VStUP SACHt VB 600 40 t</t>
  </si>
  <si>
    <t>ZKOUŠKA VODOtĚSNOStI - UtĚSNĚNÍ PŘÍPOJEK</t>
  </si>
  <si>
    <t>mtŽ potr PVC OV do 20% DN150</t>
  </si>
  <si>
    <t>mtŽ potr PVC OV do 20% DN200</t>
  </si>
  <si>
    <t>mtŽ potr PVC OV do 20% DN300</t>
  </si>
  <si>
    <t>SKRUZ SACHt tBS-Q.1 100/50 PS Emt</t>
  </si>
  <si>
    <t>SKRUZ SACHt tBS-Q.1 100/100 PS Emt</t>
  </si>
  <si>
    <t>mtŽ potr PVC OV do 20% DN250</t>
  </si>
  <si>
    <t>SKRUZ SACHt tBS-Q.1 100/25 PS Emt</t>
  </si>
  <si>
    <t>ORL AS-tOP 80 RCS/EO/PB</t>
  </si>
  <si>
    <t>POKLOP OC VODOtES K 21 60X60Cm B</t>
  </si>
  <si>
    <t>POKLOP VStUP SACHt 600 40 t</t>
  </si>
  <si>
    <t>SKR PR tBR-Q.1 100-63/58 KPS Emt</t>
  </si>
  <si>
    <t>Napojení stávající a nové komunikace (ABS,tensar,OK,zálivka,zaříznutí,zarovnání)</t>
  </si>
  <si>
    <t>SO 104   KANALIZACE  ZAOLEJOVANÁ + ORL</t>
  </si>
  <si>
    <t>SANATORIUM Zábřeh</t>
  </si>
  <si>
    <t>Zakázka:</t>
  </si>
  <si>
    <t>Zadavatel :</t>
  </si>
  <si>
    <t>VERMONT s.r.o.</t>
  </si>
  <si>
    <t>Botanická 606/24, 602 00 Brno - Veveří</t>
  </si>
  <si>
    <t>Hmotnost</t>
  </si>
  <si>
    <t>767: Konstrukce zámečnické</t>
  </si>
  <si>
    <r>
      <rPr>
        <b/>
        <i/>
        <sz val="9"/>
        <rFont val="Arial"/>
        <family val="2"/>
      </rPr>
      <t>Uchazeč je oprávněn ve všech listech tohoto souboru měnit údaje pouze v určených buňkách. Jedná se o tyto údaje:</t>
    </r>
    <r>
      <rPr>
        <i/>
        <sz val="9"/>
        <rFont val="Arial"/>
        <family val="2"/>
      </rPr>
      <t xml:space="preserve">
                     - údaje o společnosti
                    - jednotkové ceny položek</t>
    </r>
  </si>
  <si>
    <t>IDENTIFIKAČNÍ ÚDAJE UCHAZEČE</t>
  </si>
  <si>
    <t>Jméno společnosti:</t>
  </si>
  <si>
    <t>Ulice a č.p.:</t>
  </si>
  <si>
    <t>Místo:</t>
  </si>
  <si>
    <t>PSČ:</t>
  </si>
  <si>
    <t>IČO:</t>
  </si>
  <si>
    <t>DIČ:</t>
  </si>
  <si>
    <t>Kontaktní osoba:</t>
  </si>
  <si>
    <t>Telefon:</t>
  </si>
  <si>
    <t>E-mail:</t>
  </si>
  <si>
    <t>1.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</si>
  <si>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dodavateli předložených cenových nabídek.</t>
  </si>
  <si>
    <t>Předpokládá se, že dodavatel před zpracováním cenové nabídky pečlivě prostuduje všechny pokyny a technické specifikace obsažené v zadávacích podmínkách a bude se jimi při zpracování nabídkové ceny řídit.</t>
  </si>
  <si>
    <t>2. VYMEZENÍ NĚKTERÝCH POJMŮ</t>
  </si>
  <si>
    <t>Pro účely zadávací dokumentace se rozumí:</t>
  </si>
  <si>
    <t>a) Soupisem stavebních prací dodávek a služeb dokument, ve kterém jsou definovány zadavatelem požadované stavební práce, dodávky a služby v podrobnostech nezbytných pro zpracování cenové nabídky dodavatele. Soupis obsahuje i definici požadovaného množství stavebních prací, dodávek a služeb.</t>
  </si>
  <si>
    <t>b) Ostatními náklady - ekonomicky nutné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</si>
  <si>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c)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jednotlivých částí soupisu až po celkovou nabídkovou cenu za veškeré stavební práce, dodávky nebo služby, které jsou obsahem soupisu stavebních prací, dodávek a služeb.</t>
  </si>
  <si>
    <t>d) Vedlejšími náklady ekonomicky nutné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</si>
  <si>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3. CENOVÁ SOUSTAVA</t>
  </si>
  <si>
    <t>3.1. POUŽITÁ CENOVÁ SOUSTAVA</t>
  </si>
  <si>
    <t xml:space="preserve">Soupisy stavebních prací, dodávek a služeb jsou zpracovány formou individuálního popisu. </t>
  </si>
  <si>
    <t>3.2.  TECHNICKÉ SPECIFIKACE</t>
  </si>
  <si>
    <t>V soupise jsou  použity pouze individuální popisy položek. Jejich  technické specifikace jsou definovány popisem položky.</t>
  </si>
  <si>
    <t xml:space="preserve">3.3.DALŠÍ TECHNICKÉ A KVALITATIVNÍ PODMÍNKY </t>
  </si>
  <si>
    <t>Pro použité položky stavebních prací, které nejsou součástí definované cenové soustavy platí dále následující podmínky</t>
  </si>
  <si>
    <t>3.3.1  Je-li popsaná individuální položka stavebních prací v textu označena popisem D+M, rozumí se tím vždy dodávka a montáž materiálů, prvků či zařízení definovaných popisem položky. Totéž platí pro položky u kterých není výslovně uvedena položka montáž.</t>
  </si>
  <si>
    <t>3.3.2  Pokud podle ocenění některých specializovaných řemesel je obvyklé dopočítávat do nabídkové ceny podíly na přidružené výkony, doplňkové náklady nebo zednické výpomoci či podružný materiál, pak je dodavatel povinen kalkulovat tyto „doplňkové“ náklady přímo do položek soupisu stavebních prací. Soupisy nemusí obsahovat pro tyto „doplňkové náklady žádný samostatný popis.</t>
  </si>
  <si>
    <t xml:space="preserve">3.3.3 Ve výkazu výměr stavební části jsou veškeré vykázané výměry bez prořezu (tzn. jako čistá výměra bez rezerv) a je potřeba toto zohlednit do jednotkové ceny. </t>
  </si>
  <si>
    <t>4. ZÁVAZNOST A ZMĚNA SOUPISU</t>
  </si>
  <si>
    <t>4.1. ZÁVAZNOST SOUPISU</t>
  </si>
  <si>
    <t>Zadavatelem poskytnuté soupisy jsou pro zpracování nabídkové ceny závazné. Je vyloučeno jakékoliv vyřazení položek ze soupisu, doplnění položek do soupisu, jakýkoliv zásah do popisu položky, změna množství nebo měnit jakéhokoliv jiného údaje v soupisu, pokud není dále v těchto podmínkách uvedeno jinak.</t>
  </si>
  <si>
    <t>4.2. KONTROLA SOUPISU</t>
  </si>
  <si>
    <t>Zadavatel si je vědom své zákonné odpovědnosti za správnost a úplnost zadávací dokumentace. Přesto, s ohledem na reálný stav a složitost zpracování soupisu doporučuje dodavatelům, aby při zpracování nabídkové ceny prováděli přiměřenou kontrolu soupisu, zda odpovídá ostatním částem zadávací dokumentace. Jakékoliv zjištěné nejasnosti, chyby či doplnění si vyjasnili ještě před podáním nabídky.</t>
  </si>
  <si>
    <t>4.3. ZMĚNA SOUPISU V PRŮBĚHU LHŮTY PRO PODÁNÍ NABÍDEK</t>
  </si>
  <si>
    <t xml:space="preserve">Pokud v důsledku žádostí dodavatelů o dodatečné informace k soupisu dojde k jakékoliv změně předaného soupisu, pak zadavatel předloží opětovně celý nový soupis příslušného stavebního objektu. Tento nově předaný soupis nahradí v plném rozsahu původně předaný. Dodavatel je pak povinen pro zpracování nabídkové ceny použít tento nově předaný soupis. Původní soupis příslušného stavebního objektu pozbývá předáním nového soupisu platnosti. </t>
  </si>
  <si>
    <t>5. ELEKTRONICKÁ FORMA SOUPISU</t>
  </si>
  <si>
    <t>5.1. ELEKTRONICKÁ FORMA SOUPISU</t>
  </si>
  <si>
    <t>V souladu se zákonem poskytuje zadavatel dodavatelům i elektronickou formu soupisu včetně rekapitulace. Elektronická forma soupisu je ve formátu MS EXCEL.</t>
  </si>
  <si>
    <t>5.2. ZPRACOVÁNÍ ELEKTRONICKÉ FORMY SOUPISU</t>
  </si>
  <si>
    <t>Předaný formát MS EXCEL. Je přístupným souborem, do kterého dodavatel doplňuje pouze jednotkové ceny ke všem položkám. Ostatní cenové údaje, jako celková cena položky, mezisoučty za stavební či funkční díly nebo součty celkové ceny stavebního objektu, jakož i cena stavby jsou výsledkem matematických operací bez zásahu dodavatele. Dodavatel je povinen zkontrolovat správnost součtů.</t>
  </si>
  <si>
    <t>5.3. SW PRODUKTY PRO ZPRACOVÁNÍ NABÍDKOVÉ CENY</t>
  </si>
  <si>
    <t>Všechny běžně užívané SW produkty umožňují transport položek ze souboru MS EXCEL do oceňovacích programů a následně po výpočtu nabídkové ceny transport dat zpět do předaného formátu soupisu stavebních prací, dodávek a služeb.</t>
  </si>
  <si>
    <t>6. POŽADAVKY NA ZPŮSOB ZPRACOVÁNÍ NABÍDKOVÉ CENY</t>
  </si>
  <si>
    <t>6.1. NABÍDKOVÁ CENA ZA SPLNĚNÍ VEŘEJNÉ ZAKÁZKY</t>
  </si>
  <si>
    <t>Nabídkovou cenou za splnění veřejné zakázky se rozumí celková cena za každou dílčí část veřejné zakázky samostatně. Nabídková cena musí obsahovat veškeré nutné náklady dodavatele k řádnému provedení stavby včetně ostatních a vedlejších nákladů. Veškeré ceny jsou v korunách českých (Kč).</t>
  </si>
  <si>
    <t>6.2. VÝVOJ CEN STAVEBNÍCH PRACÍ A OSTATNÍ RIZIKA</t>
  </si>
  <si>
    <t>V rámci jednotkových cen stavebních prací, dodávek a služeb definovaných v nabídce dodavatele musí dodavatel zohlednit i očekávaný vývoj cen v národním hospodářství (inflaci) a rovněž i očekávaný vývoj kurzů české měny vůči zahraničním měnám, a to zejména v případě, kdy součástí stavby jsou v soupise dodávky z jiných zemí.</t>
  </si>
  <si>
    <t>6.3. POLOŽKOVÝ ROZPOČET</t>
  </si>
  <si>
    <t xml:space="preserve">Za soulad položkového rozpočtu s předaným soupisem stavebních prací, dodávek a služeb je odpovědný dodavatel (má se na mysli soulad jak v množství, tak v definované kvalitě). </t>
  </si>
  <si>
    <t>6.4. ZVLÁŠTNÍ PODMÍNKY PRO STANOVENÍ NABÍDKOVÉ CENY</t>
  </si>
  <si>
    <t>Některé položky stavebních prací popsané v soupisech stavebních prací, dodávek a služeb mají specifické obvyklé postupy výpočtu. Pro sestavení nabídkové ceny dodavatele pak platí:</t>
  </si>
  <si>
    <t>6.4.1. Přeprava vybouraných hmot, suti a vytěžené zeminy</t>
  </si>
  <si>
    <t>Pokud soupis obsahuje i některé technologické položky vztahující se k uložení vytěžené zeminy nebo vybouraných hmot, vodorovné přesuny zeminy nebo vybouraných hmot pak v takovém případě zadavatel v době sestavení soupisu nezná a znát nemůže, jaký technologický postup zhotovitel zvolí a jaká  místa pro uložení zeminy nebo vybouraných hmot zajistí. U takových položek platí rovněž zákaz zásahu do množství či popisu položky a je povinností dodavatele stanovit takovou jednotkovou cenu aby celková cena položky odpovídala jeho konkrétním technologickým podmínkám a konkrétní přepravní vzdálenosti, při soupisem vymezeném množství měrných jednotek .</t>
  </si>
  <si>
    <t>6.4.2. Poplatky za uskladnění</t>
  </si>
  <si>
    <t>Pokud soupis definuje i položky pro uložení vytěžené zeminy nebo vybouraných hmot a za toto uložení musí dodavatel hradit příslušné poplatky, je povinností dodavatele zakalkulovat do své nabídkové ceny i tyto poplatky, a to bez ohledu na to, zda soupis obsahuje nebo neobsahuje samostatnou položku „poplatek za skládku“.  Pokud je v soupisu obsažena samostatně položka „poplatek za skládku“ nebo jí textem odpovídající položka, pak cena poplatku za uložení bude definována v této položce. Pouze v případě, pokud by  samostatná položka „poplatek za skládku“ soupisem definována nebyla, pak cena za poplatek za skládku musí být obsažena v ceně za vodorovné přemístění takového ukládaného materiálu. Zadavatel v době sestavení soupisu nezná a znát nemůže, jaký technologický postup zhotovitel pro ukládání zeminy nebo vybourané suti či materiálu zvolí a jaké místo pro uložení zeminy nebo vybouraných hmot zajistí a z tohoto důvodu nemůže přesně určit ani nutnost poplatku za uložení těchto hmot. Proto v případě, kdy soupis položku takového poplatku neobsahuje a podle zjištění dodavatele je nutno poplatek uhradit, započte dodavatel jeho hodnotu do položky vodorovného přesunu.</t>
  </si>
  <si>
    <t>6.4.3. Vnitrostaveništní přesun stavebního materiálu</t>
  </si>
  <si>
    <t>Obecně platí, že položky stavebních prací zahrnují manipulaci s potřebným stavebním materiálem v rámci technologického prostoru, jehož velikost je popsána v dokumentech definujících podstatné a kvalitativní podmínky použité cenové soustavy. Zbývající nezbytný přesun stavebního materiálu po staveništi definuje soupis v položkách pro vnitrostaveništní přesun stavebního materiálu. Podle obvyklých způsobů oceňování stavebních prací dochází v množství této položky při použití běžných oceňovacích programů k výpočtu skutečné hmotnosti přemísťovaného stavebního materiálu podle hodnot hmotnosti v příslušných položkách. Množství měrných jednotek definované soupisem (položky jsou v soupisu v popise položky označeny jako „Přesun hmot“) je neměnné. Dodavatel, pokud jeho oceňovací program dospěje k jiné tonáži vnitrostaveništního přesunu hmot, musí zachovat množství popsané v soupise a stanovit jednotkovou cenu tak, aby v rámci celkové ceny této položky byly vyjádřeny všechny náklady podle výpočtu dodavatele.</t>
  </si>
  <si>
    <t>Vnitrostaveništní přesun hmot prací PSV (pomocná stavební výroba) bývá běžně dostupnými oceňovacími SW produkty počítán buď podle hmotnosti materiálu náležejícího ke konkrétnímu řemeslu  nebo procenticky z hodnoty nabízené ceny za provedení příslušných řemeslných prací, dodávek a služeb. V zájmu sjednocení obvyklých metod ocenění, ocení dodavatel přesun hmot u prací PSV vždy konkrétní částkou v Kč, bez ohledu na to, jakým způsobem k jejímu výpočtu dospěl.</t>
  </si>
  <si>
    <t>6.4.4. Příplatky za ztížené podmínky prací</t>
  </si>
  <si>
    <t>V cenových soustavách využívaných pro sestavení soupisu stavebních prací, dodávek a služeb jsou obsaženy podle zásad tvorby cen i položky vyjadřující příplatky k cenám stavebních prací vyjadřující jejich ztížené provádění či jiné specifické podmínky. Jde např. o příplatky za lepivost, příplatky za malé plochy, příplatky za požadavky na odlišný způsob provedení, příplatky za používání lešení apod. Pokud soupis takovouto položku definuje, je dodavatel povinen ji ocenit i bez ohledu na to, že tento příplatek standardně neuplatňuje. V takovém případě musí nabídková cena položky stavebních prací a s ní souvisejícího příplatku v součtu definovat nabídkovou cenu za provedení popsané stavební práce.</t>
  </si>
  <si>
    <t>6.5. STRUKTURA NABÍDKOVÉ CENY</t>
  </si>
  <si>
    <t>Nabídková cena za stavbu bude uvedena v české měně a bude zpracována podle objektového členění stavby v rozsahu předaných soupisů. Dodavatel jako doklad prokazující jeho nabídkovou cenu v nabídce předloží souhrn dokumentů, z nichž vyplývá jeho nabídková cena. V rámci cenových údajů dodavatel předloží:</t>
  </si>
  <si>
    <t>a) Rekapitulaci celkové nabídkové ceny</t>
  </si>
  <si>
    <t>b)Položkové rozpočty na všechny stavební objekty a provozní soubory v požadovaném členění</t>
  </si>
  <si>
    <t>6.6. ZÁSADY PRO SESTAVENÍ POLOŽKOVÉHO ROZPOČTU</t>
  </si>
  <si>
    <t>Pod pojmem položkové rozpočty se rozumí oceněné soupisy stavebních prací, dodávek a služeb, do nichž dodavatel doplní jednotkové ceny za jednotlivé položky stavebních prací, dodávek a služeb a u každé položky vyjádří celkovou nabídkovou cenu položky odpovídající požadovanému počtu měrných jednotek. Pro předložení položkových rozpočtů dodavatelem v nabídce platí:</t>
  </si>
  <si>
    <t>a) každý předaný soupis stavebních prací dodávek a služeb předaný zadavatelem v rámci zadávací dokumentace musí být v nabídce dodavatele prokázán položkovým rozpočtem</t>
  </si>
  <si>
    <t>b) položkový rozpočet musí svoji strukturou a obsahem odpovídat příslušnému soupisu, změny v kterékoliv části položky jsou nepřípustné. Změna struktury či obsahu soupisu je nepřípustná.</t>
  </si>
  <si>
    <t>c) veškeré cenové údaje musí být uvedeny v Kč, nabídkové jednotkové ceny položek stavebních prací, dodávek a služeb budou uvedeny nejvýše na dvě desetinná místa.</t>
  </si>
  <si>
    <t>d)zadavatel nepřipouští položky s nulovou jednotkovou cenou.</t>
  </si>
  <si>
    <t>6.7. VEDLEJŠÍ ROZPOČTOVÉ NÁKLADY</t>
  </si>
  <si>
    <t>V souvislosti s provedením stavby je povinností dodavatele provést nebo zabezpečit další související činnosti vyplývající z druhu a charakteru prováděné stavby, jejího umístění, specifických podmínek provádění, zejména s nutnou koordinací provedení všech částí stavby  a rovněž z obchodních podmínek stanovených zadavatelem. Tyto náklady jsou popsány v samostatném soupisu stavebních prací, dodávek a služeb s tím, že dodavatel je povinen v rámci těchto nákladů ocenit všechny definované náklady a to pro celou stavbu společně (obvykle procentickým podílem z hodnoty stavebních prací, ale je na dodavateli jakým způsobem nebo metodou požadovanou položku ocení).</t>
  </si>
  <si>
    <t>7. ELEKTRONICKÁ PODOBA CENOVÉ NABÍDKY</t>
  </si>
  <si>
    <t>7.1. ELEKTRONICKÁ PODOBA CENOVÉ NABÍDKY</t>
  </si>
  <si>
    <t>Dodavatel je povinen předložit ve své nabídce souhrn dokumentů, z nichž vyplývá jeho nabídková cena i v elektronické podobě. Elektronická podoba slouží k rychlému a přehlednému posouzení nabídkových cen z hlediska jejich obsahové úplnosti.</t>
  </si>
  <si>
    <t>7.2. FORMÁT ELEKTRONICKÉ PODOBY</t>
  </si>
  <si>
    <t>Dodavatel předloží elektronickou podobu souhrnu dokumentů, z nichž vyplývá jeho nabídková cena ve formátu shodném s formátem předaných soupisů stavebních prací, dodávek a služeb.</t>
  </si>
  <si>
    <t>8. DODATEČNÉ INFORMACE K SOUPISŮM STAVEBNÍCH PRACÍ</t>
  </si>
  <si>
    <t>8.1. DODATEČNÉ INFORMACE K SOUPISŮM  STAVEBNÍCH PRACÍ</t>
  </si>
  <si>
    <t>Pro dodatečné informace k soupisům stavebních prací platí shodné podmínky jako podmínky stanovené zákonem pro dodatečné informace k zadávacím podmínkám.</t>
  </si>
  <si>
    <t>8.2. OBCHODNÍ NÁZVY OBSAŽENÉ V SOUPISECH STAVEBNÍCH PRACÍ, DODÁVEK A SLUŽEB</t>
  </si>
  <si>
    <t>Příslušná dokumentace a soupisy stavebních prací, dodávek a služeb jsou zpracovány s maximální snahou na vymezení technických standardů prací, dodávek a služeb, jejichž splnění zadavatel požaduje.  Protože však běžně používané cenové soustavy mají ve svých databázích definovány i položky, u nichž je v textu použit i popis a označení reprezentativního materiálu, umožňuje zadavatel v takovém případě použít pro plnění veřejné zakázky i jiných, kvalitativně a technicky obdobných řešení, pokud zadávací podmínky výslovně nestanoví z objektivních důvodů jinak.</t>
  </si>
  <si>
    <t>Náklady zhotovitele související se zajištěním provozů nutných pro provádění díla (kanceláře řídících pracovníků - mobilních kanceláří, sociální objekty pro pracovníky stavby, mobilní chemické WC, sklady, trvalá ostraha staveniště vč. monitorování a evidenci pohybu vozidel bez rozlišení, vnitrostaveništní rozvody všech potřebných energií vč. jejich poplatků)</t>
  </si>
  <si>
    <t>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t>
  </si>
  <si>
    <t>Kompletační činnost</t>
  </si>
  <si>
    <t>Náklady zhotovitele související se zajištěním a provedením kompletního díla dle PD a souvisejících dokladů.</t>
  </si>
  <si>
    <t>Ostatní a vedlejší</t>
  </si>
  <si>
    <t xml:space="preserve">Zajištění a projednání všech nezbytných úkonů inženýringu a administrativních nezbytných pro stavbu </t>
  </si>
  <si>
    <t>Jednání s dotčenými institucemi, s dotčenými orgány státní správy a samosprávy - například zajištění dokladů nutných pro kolaudaci apod.</t>
  </si>
  <si>
    <t>Zajištění splnění podmínek vyplývajících z vydaných rozhodnutí a povolení apod.</t>
  </si>
  <si>
    <t>Zpracování časového harmonogramu stavby a zpracování ZOV</t>
  </si>
  <si>
    <t>Zajištění bezpečnosti a orientace všech účastníků dopravního provozu (motoristů, chodců, cyklistů) v rámci stavby, například : Aktuální navigace všech osob po celou dobu stavby, označení nebezpečných míst, zamezení vstupu nepovolaným osobám na staveniště, dočasné oplocení, hrazení, osvětlení, navádění chodců na náhradní trasy; vybudování a odstranění případných dočasných lávek a přemostění, provizorní dopravní značení vč. výstražných světel atd.</t>
  </si>
  <si>
    <t>Zabezpečení staveniště a jeho vybavení, majetku třetích osob a stavebního materiálu instalovaného i neinstalovaného (uskladněného) v rámci stavby proti odcizení.</t>
  </si>
  <si>
    <t>Zabezpečení staveniště a jeho vybavení, majetku třetích osob a stavebního materiálu instalovaného i neinstalovaného (uskladněného) v rámci stavby proti vzniku jakýchkoliv škod či snížení kvality například vlivem klimatických podmínek.</t>
  </si>
  <si>
    <t>Součinnost s koordinátorem BOZP</t>
  </si>
  <si>
    <t>Náklady na zajištění konkrétních opatření požadovaných koordinátorem BOZP</t>
  </si>
  <si>
    <t xml:space="preserve">Součinnost s ostatními zúčastněnými stranami (mimo koordinátora BOZP), například: se zástupci objednatele, projektanta, TDI, AD apod. </t>
  </si>
  <si>
    <t xml:space="preserve">Včasné odsouhlasení všech užitých materiálů a technologií zástupci všech zúčastněných stran, například: zajištění dokladů (certifikátů) se specifikací zadaných technických parametrů </t>
  </si>
  <si>
    <t xml:space="preserve">Technická řešení - návrh a projednání nutných odchylek a změn oproti PD zjištěných v průběhu stavby </t>
  </si>
  <si>
    <t>Technická řešení  - návrh a projednání kolizí inženýrských sítí a zařízení, vč. nákladů souvisejících s technickým řešením případných kolizí a střetů s inženýrskými sítěmi, například: odchylky skutečného umístění IS od PD, odchylky od podkladů správců sítí, řešení souběhů a křížení s IS a zařízeními, které projektant nepředvídal atd.</t>
  </si>
  <si>
    <t>Technická řešení  - návrh a projednání kolizí se skrytými konstrukcemi, vč. nákladů souvisejících s technickým řešením případných kolizí stavby se skrytými konstrukcemi, které projektant nepředvídal, například: skryté betony, nefunkční základy atd.</t>
  </si>
  <si>
    <t xml:space="preserve">Technická řešení  - návrh a projednání rozdílů skutečně zjištěného stávajícího stavu se stávajícím stavem předpokládaného projektantem </t>
  </si>
  <si>
    <t>Dopravní opatření - řešení případných dopravních kolapsů, náklady na případné prostoje apod.</t>
  </si>
  <si>
    <t>Třídění odpadu.</t>
  </si>
  <si>
    <t>Zaškolení obsluhy všech správců, vypracování doporučených textací provozních řádů a proškolení provozovatele s provozováním a užíváním realizovaného díla dle SoD a části Jiné požadavky zadavatele</t>
  </si>
  <si>
    <t xml:space="preserve">Uvedení pozemků a všech povrchů dotčených stavbou do bezvadného stavu </t>
  </si>
  <si>
    <t>Protokolární zpětné předání pozemků dotčených stavbou příslušným správcům po dokončení realizace</t>
  </si>
  <si>
    <t xml:space="preserve">Zajištění všech dokladů nutných pro kolaudační řízení a pro vydání kolaudačního rozhodnutí </t>
  </si>
  <si>
    <t>Veškeré náklady na projektové práce, například:    A) doplnění prováděcí dokumentace (např. konstrukční detaily, výrobní a dílenská dokumentace) dle potřeb a úvahy zhotovitele stavby,   B) zpracování projektové dokumentace skutečného provedení stavby v 6 vyhotoveních,   C) doplnění nebo přepracování projektové dokumentace skutečného provedení stavu v případě připomínek stavebního úřadu v rámci schvalovacího řízení vpožadovaném počtu vyhotoveních dle ZD.</t>
  </si>
  <si>
    <t xml:space="preserve">Zpracování fotodokumentace stavu zájmového území v elektronické a tiskové podobě.   A) Fotofokumentace stávajícího stavu před zahájením stavebních prací,  B) Fotodokumentace průběhu realizace předkládaná při fakturaci,   C) Fotodokumentace dokončeného díla.   </t>
  </si>
  <si>
    <t>Provedení zkoušek potřebných k provedení díla dle specifikace PD a TZ (např. zkoušky hutnění, zkoušky těsnosti a další) vč. vystavení příslušných protokolů</t>
  </si>
  <si>
    <t>Pravidelné čištění přilehlých komunikací - dle požadavků objednatele. Pravidelné čištění pneumatik dopravních prostředků kropením.</t>
  </si>
  <si>
    <t>Označení stavby - velkorozměrová informační tabule</t>
  </si>
  <si>
    <t>Povinná publicita - Bilboard - samostatně stojící objekt, zajištění proti převrácení a zničení - čitelnost po celou dobu realizace stavby</t>
  </si>
  <si>
    <t>Vytyčení všech inženýrských sítí před zahájením prací vč. řádného zajištění. Zpětné předání všech inženýrských sítí jednotlivým správcům vč. uvedení dotčených ploch do bezvadného stavu.</t>
  </si>
  <si>
    <t>Poř.</t>
  </si>
  <si>
    <t>Výměra</t>
  </si>
  <si>
    <t>Jedn. hmotn.</t>
  </si>
  <si>
    <t>Jedn. suť</t>
  </si>
  <si>
    <t>Suť</t>
  </si>
  <si>
    <t>1.PP</t>
  </si>
  <si>
    <t>1.NP</t>
  </si>
  <si>
    <t>2.NP</t>
  </si>
  <si>
    <t>006: Úpravy povrchu</t>
  </si>
  <si>
    <t>635111000</t>
  </si>
  <si>
    <t>Lokální oprava a vyčištění stávajícího terasa schodiště</t>
  </si>
  <si>
    <t>nášlapy;19,53+20,50+19,71+19,71+19,71</t>
  </si>
  <si>
    <t>podstupnice;22*5*1,5*0,1523</t>
  </si>
  <si>
    <t>731191939</t>
  </si>
  <si>
    <t>763: Konstrukce montované</t>
  </si>
  <si>
    <t>763431001</t>
  </si>
  <si>
    <t>Montáž minerálního podhledu s vyjímatelnými panely vel. do 0,36 m2 na zavěšený viditelný rošt</t>
  </si>
  <si>
    <t>59036034</t>
  </si>
  <si>
    <t>Panel minerální, bílá Frost, 600x600x20mm</t>
  </si>
  <si>
    <t>763131411</t>
  </si>
  <si>
    <t>SDK podhled desky 1xA 12,5 bez TI dvouvrstvá spodní kce profil CD+UD</t>
  </si>
  <si>
    <t>998763403</t>
  </si>
  <si>
    <t>Přesun hmot procentní pro sádrokartonové konstrukce v objektech v do 24 m</t>
  </si>
  <si>
    <t>998767203</t>
  </si>
  <si>
    <t>Přesun hmot procentní pro zámečnické konstrukce v objektech v do 24 m</t>
  </si>
  <si>
    <t>776: Podlahy povlakové</t>
  </si>
  <si>
    <t>776251111</t>
  </si>
  <si>
    <t>Lepení pásů z PVC</t>
  </si>
  <si>
    <t>28412111</t>
  </si>
  <si>
    <t>Krytina podlahová  PVC dle výběru investora</t>
  </si>
  <si>
    <t>776551111</t>
  </si>
  <si>
    <t>Lepení pásů z PVC na stěnu výšky do 2,5 m</t>
  </si>
  <si>
    <t>28412110</t>
  </si>
  <si>
    <t>Krytina  PVC - obklad stěn</t>
  </si>
  <si>
    <t>obklad stěn</t>
  </si>
  <si>
    <t>998776203</t>
  </si>
  <si>
    <t>Přesun hmot procentní pro podlahy povlakové v objektech v do 24 m</t>
  </si>
  <si>
    <t>795121813</t>
  </si>
  <si>
    <t>731: Ústřední vytápění</t>
  </si>
  <si>
    <t>750: Vzduchotechnika</t>
  </si>
  <si>
    <t>VZT - viz samostatný rozpočet</t>
  </si>
  <si>
    <t>VRN: Vedlejší rozpočtové náklady</t>
  </si>
  <si>
    <t xml:space="preserve">731: Ústřední vytápění </t>
  </si>
  <si>
    <t>SO 103 Kanalizace areálová</t>
  </si>
  <si>
    <t>SO 104 Kanalizace zaolejovaná</t>
  </si>
  <si>
    <t>Geodetické práce při provádění stavby</t>
  </si>
  <si>
    <t>Geometrický plán stavby po dokončení</t>
  </si>
  <si>
    <t>Připojení staveniště na inženýrské sítě</t>
  </si>
  <si>
    <t xml:space="preserve">Zařízení staveniště - vč.energie a vody, zpevněné plochy, oplocení, vytápění stavby, atd.   </t>
  </si>
  <si>
    <t>Provoz zařízení staveniště</t>
  </si>
  <si>
    <t>Bezpečnostní opatření</t>
  </si>
  <si>
    <t>Zrušení zařízení staveniště</t>
  </si>
  <si>
    <t>Zkoušky a revize</t>
  </si>
  <si>
    <t>Provozní řády</t>
  </si>
  <si>
    <t>Předání a převzetí díla</t>
  </si>
  <si>
    <t>Dokumentace skutečného zaměření</t>
  </si>
  <si>
    <t>Vedlejší rozpočtové náklady</t>
  </si>
  <si>
    <t>771 01</t>
  </si>
  <si>
    <t>771 00</t>
  </si>
  <si>
    <t>784211101</t>
  </si>
  <si>
    <t>Dvojnásobné bílé malby ze směsí za mokra výborně otěruvzdorných v místnostech výšky do 3,80 m</t>
  </si>
  <si>
    <t>784211151</t>
  </si>
  <si>
    <t>Příplatek k cenám 2x maleb ze směsí za mokra otěruvzdorných za barevnou malbu  tónovanou přípravky</t>
  </si>
  <si>
    <t>784211107</t>
  </si>
  <si>
    <t>784: Malby</t>
  </si>
  <si>
    <t>767920825</t>
  </si>
  <si>
    <t>D+M nákladního výtahu</t>
  </si>
  <si>
    <t>767920835</t>
  </si>
  <si>
    <t>795121814</t>
  </si>
  <si>
    <t>VZT - nastavení  aregulace jednotlivých zařízení VZT</t>
  </si>
  <si>
    <t>Díl:</t>
  </si>
  <si>
    <t>SO 101 Rekonstrukce objektu</t>
  </si>
  <si>
    <t>dodávka nového evakuačního výtahu,nosnost  500 kg , nemocniční provedení, vybavení dle specifikace investora, 5 stanic</t>
  </si>
  <si>
    <t>776590125</t>
  </si>
  <si>
    <t>Úprava podkladu  ploch stěn pod PVC  stěrkováním vyrovnávacím tmelem</t>
  </si>
  <si>
    <t>Ostatní a vedlejší náklady</t>
  </si>
  <si>
    <t>Průzkumné, geodetické a projektové práce</t>
  </si>
  <si>
    <t>CELKEM VRN</t>
  </si>
  <si>
    <t>Odbourání stávajících obrubníků</t>
  </si>
  <si>
    <t>odstranění stávajících obrubníků, jejich likvidace, skládkovné</t>
  </si>
  <si>
    <t>029</t>
  </si>
  <si>
    <t>030</t>
  </si>
  <si>
    <t>871353122</t>
  </si>
  <si>
    <t>871353123</t>
  </si>
  <si>
    <t>871373124</t>
  </si>
  <si>
    <t>tRUBKA KANAL SN8 UR1 DN 250/6000</t>
  </si>
  <si>
    <t>031</t>
  </si>
  <si>
    <t>594401206</t>
  </si>
  <si>
    <t>D+M šachtového dna Parschalův žlab</t>
  </si>
  <si>
    <t>915131112</t>
  </si>
  <si>
    <t>914111111</t>
  </si>
  <si>
    <t>značka svislá reflexní AL- NK</t>
  </si>
  <si>
    <t>sloupek Zn 70 - 350</t>
  </si>
  <si>
    <t>D+M  svislé dopravní značky do velikosti 1 m2 objímkami na sloupek nebo konzolu</t>
  </si>
  <si>
    <t>patka hliníková HP 70</t>
  </si>
  <si>
    <t>víčko plastové na sloupek 70</t>
  </si>
  <si>
    <t>upínací svorka na sloupek US 70</t>
  </si>
  <si>
    <t xml:space="preserve"> Značka svislá IP 11b. Položka obsahuje :</t>
  </si>
  <si>
    <t>SO 102 Komunikace a zpevněné plochy</t>
  </si>
  <si>
    <t>Povinná publicita - Pamětní deska - stálá informační tabule/trvalá pamětní deska</t>
  </si>
  <si>
    <t>Ostatní a vedlejší náklady (viz. rozpis dle samostatného listu VRN-komentář)</t>
  </si>
  <si>
    <t>Kamerová zkouška</t>
  </si>
  <si>
    <t>892452223</t>
  </si>
  <si>
    <t>032</t>
  </si>
  <si>
    <t>Dopojení kanalizace na šachtu Š 8 včetně úpravy stávající šachty</t>
  </si>
  <si>
    <t>D+M  žlab  zapuštěného odvodňovacího   šířky 150 mm osazeno do betonového lože z betonu B12,nosnost do 7 t</t>
  </si>
  <si>
    <t>rychlost 1m/s,velikost šachty 2900/2100 mm,nerezové provedení, protiskluzová guma, sedátko,LED osvětlení, šachetní dveře nerez</t>
  </si>
  <si>
    <t>SO 101: Rekonstrukce objektu</t>
  </si>
  <si>
    <t>ÚT - viz samostatný rozpočet</t>
  </si>
  <si>
    <t>IČ: 262 15 225</t>
  </si>
  <si>
    <t>Razítko a podpis uchazeče :</t>
  </si>
  <si>
    <t>776141112</t>
  </si>
  <si>
    <t>Vyrovnání podkladu povlakových podlah stěrkou pevnosti 20 MPa tl 5 mm</t>
  </si>
  <si>
    <t>776411112</t>
  </si>
  <si>
    <t>Montáž obvodových soklíků výšky  do 100 mm</t>
  </si>
  <si>
    <t xml:space="preserve">1.NP </t>
  </si>
  <si>
    <t>pokoje ;828,4</t>
  </si>
  <si>
    <t>chodby;233</t>
  </si>
  <si>
    <t>2-4.NP</t>
  </si>
  <si>
    <t>pokoje; 2268</t>
  </si>
  <si>
    <t>chodby;651</t>
  </si>
  <si>
    <t>Lišta speciální soklová PVC k danému PVC, výška 100 mm</t>
  </si>
  <si>
    <t>pokládka PVC na podlahy  dle výběru investora včetně typových podžlábků soklu ve sprchách</t>
  </si>
  <si>
    <t>nutno vzorkovat, dle výběru investora;3980,4*1,1</t>
  </si>
  <si>
    <t>Soupis položek</t>
  </si>
  <si>
    <t>položka</t>
  </si>
  <si>
    <t>název</t>
  </si>
  <si>
    <t>jedn.</t>
  </si>
  <si>
    <t>Kč/mj</t>
  </si>
  <si>
    <t>dodavka. celkem</t>
  </si>
  <si>
    <t>montáž</t>
  </si>
  <si>
    <t>montáž celkem</t>
  </si>
  <si>
    <t>celkem kapitola</t>
  </si>
  <si>
    <t>% z dodávky</t>
  </si>
  <si>
    <t>ZAŘÍZENí č.1 - Větrání   prostorů kuchyně v 1.PP</t>
  </si>
  <si>
    <t>1.1.</t>
  </si>
  <si>
    <t>1.2.</t>
  </si>
  <si>
    <t>Příslušenství :</t>
  </si>
  <si>
    <t>Ovládání inverteru - 0-10 V-teplota</t>
  </si>
  <si>
    <t xml:space="preserve">Cu potrubí (s chladivem+komunikativní propojení) vč.izolace </t>
  </si>
  <si>
    <t>1.3.</t>
  </si>
  <si>
    <t>Rám pod kondenzační jednotku 900x330, V=400 mm</t>
  </si>
  <si>
    <t>1.4.</t>
  </si>
  <si>
    <t xml:space="preserve">Kulisa deskového tlumiče hluku do potrubí GDE 100/500/1000,  Stavoclima </t>
  </si>
  <si>
    <t>1.5.</t>
  </si>
  <si>
    <t>1.6.</t>
  </si>
  <si>
    <t>1.7.</t>
  </si>
  <si>
    <t>1.8.</t>
  </si>
  <si>
    <t>1.9.</t>
  </si>
  <si>
    <t>1.10.</t>
  </si>
  <si>
    <t>1.11.</t>
  </si>
  <si>
    <t>1.12.</t>
  </si>
  <si>
    <t>Materiál spojovací a těsnící</t>
  </si>
  <si>
    <t xml:space="preserve"> </t>
  </si>
  <si>
    <t xml:space="preserve">Celkem zařízení č.1 </t>
  </si>
  <si>
    <t xml:space="preserve">ZAŘÍZENí č.2 - Větrání prostoru jídelny v 1.PP </t>
  </si>
  <si>
    <t>2.1.</t>
  </si>
  <si>
    <t>2.2.</t>
  </si>
  <si>
    <t>2.3.</t>
  </si>
  <si>
    <t>2.6.</t>
  </si>
  <si>
    <t>2.7.</t>
  </si>
  <si>
    <t>2.8.</t>
  </si>
  <si>
    <t>2.9.</t>
  </si>
  <si>
    <t>2.10.</t>
  </si>
  <si>
    <t>2.11.</t>
  </si>
  <si>
    <t>2.12.</t>
  </si>
  <si>
    <t xml:space="preserve">Celkem zařízení č.2 </t>
  </si>
  <si>
    <t>ZAŘÍZENí č.3 - Větrání prostoru návštěv, společenské místnosti v 1.NP a jídelen ve 2-4.NP</t>
  </si>
  <si>
    <t>3.1.</t>
  </si>
  <si>
    <t>3.2.</t>
  </si>
  <si>
    <t>3.3.</t>
  </si>
  <si>
    <t>3.5.</t>
  </si>
  <si>
    <t>3.6.</t>
  </si>
  <si>
    <t xml:space="preserve">Vířivá výusť, nastav. Lamely černé VVKR-A-S-600x8-B, (200m3/h), krycí deska 600x600, Systemair </t>
  </si>
  <si>
    <t>3.7.</t>
  </si>
  <si>
    <t>3.8.</t>
  </si>
  <si>
    <t>3.9.</t>
  </si>
  <si>
    <t>3.10.</t>
  </si>
  <si>
    <t>3.11.</t>
  </si>
  <si>
    <t xml:space="preserve">Celkem zařízení č.3 </t>
  </si>
  <si>
    <t>ZAŘÍZENí č.4 - Větrání prostoru rehabilitace v 1.PP</t>
  </si>
  <si>
    <t>4.1.</t>
  </si>
  <si>
    <t>4.2.</t>
  </si>
  <si>
    <t>4.3.</t>
  </si>
  <si>
    <t>4.4.</t>
  </si>
  <si>
    <t>4.5.</t>
  </si>
  <si>
    <t>4.6.</t>
  </si>
  <si>
    <t>4.7.</t>
  </si>
  <si>
    <t>4.8.</t>
  </si>
  <si>
    <t>4.9.</t>
  </si>
  <si>
    <t>4.10.</t>
  </si>
  <si>
    <t xml:space="preserve">Celkem zařízení č.4 </t>
  </si>
  <si>
    <t xml:space="preserve">ZAŘÍZENí č.5 - Větrání prostoru šaten v 1.PP </t>
  </si>
  <si>
    <t>5.1.</t>
  </si>
  <si>
    <t>5.2.</t>
  </si>
  <si>
    <t>5.3.</t>
  </si>
  <si>
    <t>5.4.</t>
  </si>
  <si>
    <t>5.5.</t>
  </si>
  <si>
    <t>5.6.</t>
  </si>
  <si>
    <t>5.7.</t>
  </si>
  <si>
    <t>5.8.</t>
  </si>
  <si>
    <t>5.9.</t>
  </si>
  <si>
    <t>5.10.</t>
  </si>
  <si>
    <t xml:space="preserve">Celkem zařízení č.5 </t>
  </si>
  <si>
    <t xml:space="preserve">ZAŘÍZENí č.6 - Větrání hygienických zařízení </t>
  </si>
  <si>
    <t>6.1.</t>
  </si>
  <si>
    <t>6.2.</t>
  </si>
  <si>
    <t>6.3.</t>
  </si>
  <si>
    <t xml:space="preserve">Zpětná klapka-součástí dodávky ventilátoru  </t>
  </si>
  <si>
    <t>6.4.</t>
  </si>
  <si>
    <t>6.5.</t>
  </si>
  <si>
    <t>6.6.</t>
  </si>
  <si>
    <t>Odsávací talířový ventil kovový DN 125</t>
  </si>
  <si>
    <t>6.7.</t>
  </si>
  <si>
    <t>6.8.</t>
  </si>
  <si>
    <t>Výfuková hlavice DN 355</t>
  </si>
  <si>
    <t>6.9.</t>
  </si>
  <si>
    <t xml:space="preserve">Celkem zařízení č.6 </t>
  </si>
  <si>
    <t>ZAŘÍZENí č.10 - Havarijní větrání prostoru schodiště CHÚC</t>
  </si>
  <si>
    <t>10.1.</t>
  </si>
  <si>
    <t>10.2.</t>
  </si>
  <si>
    <t>10.3.</t>
  </si>
  <si>
    <t>Krycí mřížka 678x678</t>
  </si>
  <si>
    <t xml:space="preserve">Celkem zařízení č.10 </t>
  </si>
  <si>
    <t>Multi split systém inverter - pro 8 místností</t>
  </si>
  <si>
    <t>11.1.</t>
  </si>
  <si>
    <t>Potrubí odvodu kondenzátu - řeší profese ZTI</t>
  </si>
  <si>
    <t>Zkouška potrubí těsnosti, vstupní revize, vč. založení evidenční knihy chladícího zařízení</t>
  </si>
  <si>
    <t>0</t>
  </si>
  <si>
    <t>11.2.</t>
  </si>
  <si>
    <t>Ocelová konstrukce pod kondenzační jednotku 970x330,          V= 350mmm</t>
  </si>
  <si>
    <t>11.3.</t>
  </si>
  <si>
    <t>ASYG-09LMCA</t>
  </si>
  <si>
    <t>11.4.</t>
  </si>
  <si>
    <t>Ocelová konstrukce pod kondenzační jednotku 900x330,          V= 250mmm</t>
  </si>
  <si>
    <t>Materiál montážní na závěsy - závěsové systémy,  všechny prvky z pozinkované oceli</t>
  </si>
  <si>
    <t xml:space="preserve">Celkem zařízení č.11 </t>
  </si>
  <si>
    <t>TEPELNÁ IZOLACE</t>
  </si>
  <si>
    <t>Minerální plsť tl.50 mm s polepem, vč.obalení alfolem, ve venkovním prostoru oplechvání pozink.plechem</t>
  </si>
  <si>
    <t xml:space="preserve">Celkem tepelné izolace </t>
  </si>
  <si>
    <t>PROTIPOŽÁRNÍ IZOLACE</t>
  </si>
  <si>
    <t>Minerální plsť tl.40 mm na trny, vč.obalení alfolem, požární odolnost 45 nim</t>
  </si>
  <si>
    <t xml:space="preserve">Celkem protipožární izolace </t>
  </si>
  <si>
    <t>NÁTĚRY</t>
  </si>
  <si>
    <t>Odmaštění povrchu</t>
  </si>
  <si>
    <t>Nátěr barvou základní</t>
  </si>
  <si>
    <t>Nátěr barvou vrchní</t>
  </si>
  <si>
    <t>Nátěry celkem</t>
  </si>
  <si>
    <t>LEŠENÍ</t>
  </si>
  <si>
    <t>Lešení prostorové lehké, montáž do 10 m</t>
  </si>
  <si>
    <t>Lešení celkem</t>
  </si>
  <si>
    <t>VZDUCHOTECHNIKA CELKEM</t>
  </si>
  <si>
    <t>3.NP</t>
  </si>
  <si>
    <t>4.NP</t>
  </si>
  <si>
    <t>612325413</t>
  </si>
  <si>
    <t>Oprava vnitřní vápenocementové hladké omítky stěn v rozsahu plochy do 50%</t>
  </si>
  <si>
    <t>612473182</t>
  </si>
  <si>
    <t>Vnitřní omítka zdiva vápenocementová ze suchých směsí štuková</t>
  </si>
  <si>
    <t>612473186</t>
  </si>
  <si>
    <t>Příplatek k vnitřní omítce zdiva vápenocementové ze suchých směsí za zabudované rohovníky</t>
  </si>
  <si>
    <t>711: Izolace proti vodě</t>
  </si>
  <si>
    <t>711111051</t>
  </si>
  <si>
    <t>Provedení izolace proti zemní vlhkosti vodorovné za studena 2x nátěr tekutou elastickou hydroizolací</t>
  </si>
  <si>
    <t>24551030</t>
  </si>
  <si>
    <t>Nátěr hydroizolační - tekutá lepenka,  bal. 6 kg, včetně systémové rohové pásky</t>
  </si>
  <si>
    <t>kalkulovaná spotřeba 1,5 kg/mm/m2- uvažovány 3 mm, do ceny zahrnout i hydroizolační pásku ve vnitřních koutech včetně stěn</t>
  </si>
  <si>
    <t>998711203</t>
  </si>
  <si>
    <t>Přesun hmot procentní pro izolace proti vodě, vlhkosti a plynům v objektech v do 60 m</t>
  </si>
  <si>
    <t>766: Konstrukce truhlářské</t>
  </si>
  <si>
    <t>766 11 01</t>
  </si>
  <si>
    <t>D+M okna 1000/1000 mm dle specifikace 18/O</t>
  </si>
  <si>
    <t>767 11 03</t>
  </si>
  <si>
    <t>D+M dveře vnitřní 700/1970 dle specifikace  6/D, povrch CPL</t>
  </si>
  <si>
    <t>D+M dveře vnitřní 700/1970 dle specifikace  7/D, povrch CPL</t>
  </si>
  <si>
    <t>D+M dveře vnitřní 800/1970 dle specifikace  8/D, povrch CPL</t>
  </si>
  <si>
    <t>768 11 06</t>
  </si>
  <si>
    <t>D+M dveře vnitřní 800/1970 dle specifikace  9/D, povrch CPL</t>
  </si>
  <si>
    <t>768 11 07</t>
  </si>
  <si>
    <t>D+M dveře vnitřní 800/1970 dle specifikace 10/D, povrch CPL</t>
  </si>
  <si>
    <t>769 11 08</t>
  </si>
  <si>
    <t>D+M dveře vnitřní 800/1970 dle specifikace 12/D, povrch CPL</t>
  </si>
  <si>
    <t>769 11 10</t>
  </si>
  <si>
    <t>D+M dveře vnitřní 900/1970 dle specifikace 13/D, povrch CPL</t>
  </si>
  <si>
    <t>D+M dveře vnitřní 700/1970 dle specifikace 15/D, povrch CPL</t>
  </si>
  <si>
    <t>D+M dveře vnitřní 800/1970 dle specifikace 16/D, povrch CPL</t>
  </si>
  <si>
    <t>D+M dveře vnitřní 900/1970 dle specifikace 17/D, povrch CPL</t>
  </si>
  <si>
    <t>D+M dveře vnitřní 900/1970 dle specifikace 18/D, povrch CPL</t>
  </si>
  <si>
    <t>D+M dveře vnitřní 1100/1970 dle specifikace 19/D, povrch CPL</t>
  </si>
  <si>
    <t>D+M dveře vnitřní 1450/1970 dle specifikace 21/D, povrch CPL</t>
  </si>
  <si>
    <t>D+M dveře vnitřní 1450/1970 dle specifikace 22/D, povrch CPL</t>
  </si>
  <si>
    <t>D+M dveře vnitřní 1600/2100 dle specifikace 23/D, povrch CPL</t>
  </si>
  <si>
    <t>D+M dveře vnitřní 1600/2100 dle specifikace 24/D, povrch CPL</t>
  </si>
  <si>
    <t>D+M dveře vnitřní 800/1970 dle specifikace 26/D, povrch CPL</t>
  </si>
  <si>
    <t>D+M dveře vnitřní 800/1970 dle specifikace 27/D, povrch CPL</t>
  </si>
  <si>
    <t>782 11 23</t>
  </si>
  <si>
    <t>D+M dveře vnitřní 900/1970 dle specifikace 35/D, povrch CPL</t>
  </si>
  <si>
    <t xml:space="preserve">D+M dřevěného madla na chodbě </t>
  </si>
  <si>
    <t>998766203</t>
  </si>
  <si>
    <t>Přesun hmot procentní pro konstrukce truhlářské v objektech v do 24 m</t>
  </si>
  <si>
    <t>771: Podlahy z dlaždic</t>
  </si>
  <si>
    <t>771990113</t>
  </si>
  <si>
    <t>Vyrovnání podkladu samonivelační stěrkou tl 10 mm</t>
  </si>
  <si>
    <t>771574154</t>
  </si>
  <si>
    <t>Montáž podlah keramických velkoformátových  do 6 ks/ m2</t>
  </si>
  <si>
    <t>59761301</t>
  </si>
  <si>
    <t>Dlaždice keramické (barevné)dle výběru investora do rozměru 600/600 mm</t>
  </si>
  <si>
    <t>771474112</t>
  </si>
  <si>
    <t>Montáž soklíků z dlaždic keramických rovných flexibilní lepidlo v do 90 mm</t>
  </si>
  <si>
    <t>59761312</t>
  </si>
  <si>
    <t>Sokl keramický,originál, dle vybrané varianty dlažby</t>
  </si>
  <si>
    <t>998771203</t>
  </si>
  <si>
    <t>Přesun hmot procentní pro podlahy z dlaždic v objektech v do 24 m</t>
  </si>
  <si>
    <t>781: Obklady keramické</t>
  </si>
  <si>
    <t>781491511</t>
  </si>
  <si>
    <t>Kovové profily ukončovací kladené do lepidla flexi</t>
  </si>
  <si>
    <t>781474115</t>
  </si>
  <si>
    <t>Montáž obkladů vnitřních keramických hladkých do 25 ks/m2 lepených flexibilním lepidlem</t>
  </si>
  <si>
    <t>59761000</t>
  </si>
  <si>
    <t>Obkládačky keramické dle výběru investora</t>
  </si>
  <si>
    <t>998781203</t>
  </si>
  <si>
    <t>Přesun hmot procentní pro obklady keramické v objektech v do 24 m</t>
  </si>
  <si>
    <t>Sestavná vzduchotechnická klimatizační jednotka AeroMaster XP ve složení, přívodní  a odvodní ventilátor, deskový rekuperátor, vodní ohřívač,chladič, filtry, výstupy nahoru, vč.tukového filtru, Vp=6600m3/h, Vo=6000m3/h, Qt=47,9 kW,topná voda 70/50 st.C Qch=42,5 kW - přímý výparník, 400V,přívod/odvod=pext=380/450 Pa, osazená čidly,+ směš.uzlem, vč. řídící jednotky, REMAK  n.č. OD089126-1</t>
  </si>
  <si>
    <t>Regulace - řídící jednotka</t>
  </si>
  <si>
    <t>Kondenzační jednotka pro Fujistu VZT inverter složená, 2-okruhy R410A,  3x400 V, 12,7/25,4 mm ( je je přibalena redukce na průměr 22), max.délka/max.převýšení=75m/30m, Impromat n.č.601162584</t>
  </si>
  <si>
    <t>AOYA-90LATT , Qch/Qt=25,0(11,2-28,0)/28,0 kW, R410A, 3x400 V</t>
  </si>
  <si>
    <t>AOYA-72LATT , Qch/Qt=20,3(10,8-23,5)/22,6 kW, R410A, 3x400 V</t>
  </si>
  <si>
    <t>UTI-INV-D</t>
  </si>
  <si>
    <t xml:space="preserve">Požární klapka PKI-S-3G-560x500-ZV, Systemair </t>
  </si>
  <si>
    <t xml:space="preserve">Regulační klapka těsná pro čtyřhrané potrubí RKT 160x160-R, Systemair </t>
  </si>
  <si>
    <t xml:space="preserve">Regulační klapka těsná pro čtyřhrané potrubí RKT 250x250-R, Systemair </t>
  </si>
  <si>
    <t>Přívodní výustka pro čtyřhranné potrubí NOVA-A-2-2-325x75-R1-UR, Systemair</t>
  </si>
  <si>
    <t>Přívodní výustka pro čtyřhranné potrubí NOVA-A-2-2-625x75-R1-UR, Systemair</t>
  </si>
  <si>
    <t>Přívodní výustka pro čtyřhranné potrubí NOVA-A-2-2-625x125-R1-UR, Systemair</t>
  </si>
  <si>
    <t>Přívodní výustka pro čtyřhranné potrubí NOVA-A-2-2-625x225-R1-UR, Systemair</t>
  </si>
  <si>
    <t>Odvodní výustka pro čtyřhranné potrubí NOVA-A-1-2-325x75-R1, Systemair</t>
  </si>
  <si>
    <t>1.13.</t>
  </si>
  <si>
    <t>Odvodní výustka pro čtyřhranné potrubí NOVA-A-1-2-625x75-R1, Systemair</t>
  </si>
  <si>
    <t>1.14.</t>
  </si>
  <si>
    <t>Odvodní výustka pro čtyřhranné potrubí NOVA-A-1-2-825x75-R1, Systemair</t>
  </si>
  <si>
    <t>1.15.</t>
  </si>
  <si>
    <t>Odsávací par nerezový prostorový-složený ze 2 ks vč.tuk.filtrů, osvětlení, odtolové vaničky, kondenzátu a reg.klapky OPA-2200x3500x450 (šxdxv), V=4000m3/h, Systemair</t>
  </si>
  <si>
    <t>1.16.</t>
  </si>
  <si>
    <t>Odsávací par nerezový nástěnný vč.tuk.filtrů, osvětlení a reg.klapky OPB-1200x100x450 (šxdxv), V=450m3/h, Systemair</t>
  </si>
  <si>
    <t xml:space="preserve">Sestavná vzduchotechnická klimatizační jednotka AeroMaste XP  ve složení, přívodní  a odvodní ventilátor, deskový rekuperátor, vodní ohřívač,chladič, filtry, výstupy nahoru, vč. tukového filtru,  Vp=3800m3/h, Vo=4100m3/h, Qt=22,3 kW,topná voda 70/50 st.C Qch=13,5 kW - přímý výparník, 400V, přívod/odvod=pext=350/350 Pa , osazená čidly,+ směš.uzlem, vvč. řídící jednotky, REMAK  n.č.OD089126-1 </t>
  </si>
  <si>
    <t>Kondenzační jednotka pro Fujistu VZT inverter 1-okruh R410A,  3x400 V,  max.délka/max.převýšení=75m/30m, Impromat n.č.601162584</t>
  </si>
  <si>
    <t>AOYG-60LATT , Qch/Qt=15,0/18,0 kW, R410A, 3x400 V</t>
  </si>
  <si>
    <t>2.5.</t>
  </si>
  <si>
    <t>Protihluková žaluzie "Klasik" PHZE(VxŠ) 1600/1250,/400/9010/Zn,  Stavoclima n.č.</t>
  </si>
  <si>
    <t xml:space="preserve">Kulisa deskového tlumiče hluku do potrubí GDE 100/500/2000,  Stavoclima </t>
  </si>
  <si>
    <t xml:space="preserve">Vířivá výusť, nastav. Lamely černé VVKR-A-S-600x24C-B, (375-425m3/h), krycí deska 600x600, Systemair </t>
  </si>
  <si>
    <t xml:space="preserve">Plenum box přívodníí vertikální PB-VVK-S-400/200-S-H-D1, krycí deska 600x600, Systemair </t>
  </si>
  <si>
    <t>Odvodní výustka pro čtyřhranné potrubí NOVA-A-1-2-525x75-R1, Systemair</t>
  </si>
  <si>
    <t>Odvodní výustka pro čtyřhranné potrubí NOVA-A-1-2-525x125-R1, Systemair</t>
  </si>
  <si>
    <t xml:space="preserve">Požární klapka PKI-S-3G-500x355-ZV, Systemair </t>
  </si>
  <si>
    <t>Regulátor průtoku vzduchu CAV ruční, izolovaný, NOTUS-R1 200-MO,  200, Systemair</t>
  </si>
  <si>
    <t>Regulátor průtoku vzduchu CAV ruční, izolovaný, NOTUS-R1 250-MO,  200, Systemair</t>
  </si>
  <si>
    <t>2.13.</t>
  </si>
  <si>
    <t>Regulační klapka ruční TUNE-R 160-B, Systemair</t>
  </si>
  <si>
    <t>Sestavná vzduchotechnická klimatizační jednotka AeroMaster XP  ve složení, přívodní  a odvodní ventilátor, deskový rekuperátor, vodní ohřívač,chladič, filtry, výstupy nahoru, Vp=3800m3/h, Vo=3800m3/h, Qt=23,9 kW,topná voda 70/50 st.C Qch=14,4 kW - přímý výparník, 400V, přívod/odvod= pext=400/350 Pa , osazená čidly,+ směš.uzlem, vč.řídící jednotky, REMAK  n.č. OD089126-1</t>
  </si>
  <si>
    <t>3.4.</t>
  </si>
  <si>
    <t>Protihluková žaluzie "Klasik" PHZE(VxŠ) 1250/1000,/400/9010/Zn,  Stavoclima n.č.</t>
  </si>
  <si>
    <t xml:space="preserve">Kulisa deskového tlumiče hluku do potrubí GDE 100/500/1500,  Stavoclima </t>
  </si>
  <si>
    <t xml:space="preserve">Plenum box přívodníí horizontální PB-VVK-S-300/160-S-H-D1, Systemair </t>
  </si>
  <si>
    <t xml:space="preserve">Vířivá výusť, nastav. Lamely černé VVKR-A-S-600x24C-B, (300m3/h), krycí deska 600x600, Systemair </t>
  </si>
  <si>
    <t xml:space="preserve">Vířivá výusť, nastav. Lamely černé VVKR-A-S-600x16-B, (300-350m3/h), krycí deska 600x600, Systemair </t>
  </si>
  <si>
    <t xml:space="preserve">Plenum box odvodní vertikální PB-VVK-S-400/160-H-V-D1, krycí deska 600x600, Systemair </t>
  </si>
  <si>
    <t>Dýza přívodní AJD 125 , Systemair</t>
  </si>
  <si>
    <t>3.12.</t>
  </si>
  <si>
    <t>3.13.</t>
  </si>
  <si>
    <t xml:space="preserve">Sestavná vzduchotechnická jednotk AeroMaster XPa ve vnitřním provedení  ve složení:  přívodní  a odvodní ventilátor, deskový rekuperátor, vodní ohřívač,chladič (přímý výparník) a filtry na přívodu a odvodu vzduchu, Vp=3000m3/h, Vo=3000m3/h, Qt=12,7 kW, Qch=9,4 kW, topná voda 70/50 st.C, 400V,přívod/odvod= pext=400/350 Pa, včetně M+R,  REMAK n.č.OD089126-1 </t>
  </si>
  <si>
    <t>AOYG-36LATT , Qch/Qt=10,0/11,2 kW, R410A, 3x400 V</t>
  </si>
  <si>
    <t xml:space="preserve">Požární klapka PKI-S-3G-500x250-ZV, Systemair </t>
  </si>
  <si>
    <t xml:space="preserve">Regulační klapka pro čtyřhrané potrubí RKT 250x250, Systemair </t>
  </si>
  <si>
    <t xml:space="preserve">Sestavná vzduchotechnická jednotka AeroMaster XP ve vnitřním provedení  ve složení:  přívodní  a odvodní ventilátor, deskový rekuperátor, vodní ohřívač,chladič (přímý výparník) a filtry na přívodu a odvodu vzduchu, Vp=2000m3/h, Vo=2200m3/h, Qt=5,15 kW, Qch=8,87 kW, topná voda 70/50 st.C, 400V, přívod/odvod pext=350/350 Pa, včetně M+R, REMAK n.č. </t>
  </si>
  <si>
    <t xml:space="preserve">Tlumiče hluku do kruhového potrubí LCD-B-160/900,  Systemair </t>
  </si>
  <si>
    <t xml:space="preserve">Tlumiče hluku do kruhového potrubí LCD-B-315/900,  Systemair </t>
  </si>
  <si>
    <t>Přívodní výustka pozink NOVA-C-2--525x75-R1, Systemair</t>
  </si>
  <si>
    <t>Přívodní výustka pozink NOVA-C2--625x75-R1, Systemair</t>
  </si>
  <si>
    <t>Odsávací výustka pozink NOVA-C-1-525x75-R1, Systemair</t>
  </si>
  <si>
    <t>Regulační klapka těsná TUNE-R-160-3-H, Systemair</t>
  </si>
  <si>
    <t>Regulační klapka těsná TUNE-R-315-3-H, Systemair</t>
  </si>
  <si>
    <t>Požární klapka PKI-C-EI90S-160-ZV, Systemair</t>
  </si>
  <si>
    <t xml:space="preserve">Požární klapka kruhová PKI-R-3G-280-ZV, Systemair </t>
  </si>
  <si>
    <t>Diagonální ventilátor do kruh. potrubí RKV sileo160E2,           V=300 m3/h, N=0,2 kW, 230 V, Systemair</t>
  </si>
  <si>
    <t>Časový doběh CS3-1 - pod omítku, max 200 W, po vypnutí světel, Systemair</t>
  </si>
  <si>
    <t>Klapka přetlaková RSK 160, 2 pružiny, Systemair</t>
  </si>
  <si>
    <t>Spona rychloupínací FK 160, Systemair</t>
  </si>
  <si>
    <t>Diagonální ventilátor do kruh. potrubí RKV sileo200E2,           V=500 m3/h, N=0,2 kW, 230 V, Systemair</t>
  </si>
  <si>
    <t>Klapka přetlaková RSK 200, 2 pružiny, Systemair</t>
  </si>
  <si>
    <t>Spona rychloupínací FK 200, Systemair</t>
  </si>
  <si>
    <t>6.2A.</t>
  </si>
  <si>
    <t>Diagonální ventilátor do kruh. potrubí RKV sileo250E2,           V=800 m3/h, N=0,2 kW, 230 V, Systemair</t>
  </si>
  <si>
    <t>Klapka přetlaková RSK 250, 2 pružiny, Systemair</t>
  </si>
  <si>
    <t>Spona rychloupínací FK 250, Systemair</t>
  </si>
  <si>
    <t>Radiální ventilátor PremiumDX 400T Timer, (časový doběh)                              V=150 m3/h, N=0,2 kW, 230 V, IP X5, bezúdržbový motor, samomazné ložiska a tepelná pojistka  Systemair</t>
  </si>
  <si>
    <t>Přetlaková klapka PER 160 W, Elektrodesign</t>
  </si>
  <si>
    <t>Přetlaková klapka PER 200 W, Elektrodesign</t>
  </si>
  <si>
    <t>6.6A.</t>
  </si>
  <si>
    <t>Odsávací talířový ventil kovový DN 160 , Elektrodesign</t>
  </si>
  <si>
    <t xml:space="preserve">Dveřní mřížka oboustranná NOVA-0-400x100-UR1,Systemair </t>
  </si>
  <si>
    <t xml:space="preserve">Stěnová mřížka NOVA-L 1-2-400x200-UR-1-20,Systemair </t>
  </si>
  <si>
    <t>6.10.</t>
  </si>
  <si>
    <t>Odsávací výustka pozink NOVA-C-325x75-R1, Systemair</t>
  </si>
  <si>
    <t>6.11.</t>
  </si>
  <si>
    <t>6.12.</t>
  </si>
  <si>
    <t>Odvodní výustka pro kruhové potrubí NOVA-C-2-425x75-R1, Systemair</t>
  </si>
  <si>
    <t>ZAŘÍZENí č.7 - NEOBSAZENO</t>
  </si>
  <si>
    <t>ZAŘÍZENí č.8 - NEOBSAZENO</t>
  </si>
  <si>
    <t>ZAŘÍZENí č.9 - NEOBSAZENO</t>
  </si>
  <si>
    <t>Přívodní ventilátor MUB 062 630D4-A2 IE2, V= 12900 m3/ h, tlak.ztr. 200 Pa P=4,41kW, 400 V, Systemair</t>
  </si>
  <si>
    <t>Klapka těsná na servo RKT MUB - 678x678-S, Systemair</t>
  </si>
  <si>
    <t>Servopohon LM 230A, 230 V, 50 Hz, 5Nm, Systemair</t>
  </si>
  <si>
    <t>Pružná manžeta DS 062/678x678, Systemair</t>
  </si>
  <si>
    <t>PZAL-1000x1000-S-UR - protidešťová žaluzie pevná, hliník, se sítem a rámem, Systemair</t>
  </si>
  <si>
    <t>ZAŘÍZENí č.11 - Chlazení vybraných prostor v objektu</t>
  </si>
  <si>
    <t xml:space="preserve">Venkovní kondenzační jednotka VRF-V-II systém inverter Fujistu , Qch/Qt=22,0/25,0 kW, 101,6 %, chladivo R410A, 400 V, IMPROMAT n.č.601162584                                         </t>
  </si>
  <si>
    <t>AJY-072-ALBH</t>
  </si>
  <si>
    <t>Vnitřní nástěnná jednotka , Qch/Qt=2,8/3,2 kW, vč. exp. Ventilů, vč.infraovladače,  neobsahuje čerpadlo kondenzátu</t>
  </si>
  <si>
    <t>ASYA-09GACH</t>
  </si>
  <si>
    <t>Vnitřní kazetová jednotka , Qch/Qt=3,6/4,1 kW, vč. infraovladače a  čerpadlo kondenzátu, čtař. výdechy</t>
  </si>
  <si>
    <t>AUXB-12GALH</t>
  </si>
  <si>
    <t xml:space="preserve">UTG-UFYC-W-dekorativní gril </t>
  </si>
  <si>
    <t>UTY-RNNYM - drátový ovladač</t>
  </si>
  <si>
    <t>Rozdělovače návrh :</t>
  </si>
  <si>
    <t>UTP-AX054A</t>
  </si>
  <si>
    <t>UTP-AX090A</t>
  </si>
  <si>
    <t>Uvedení do provozu, zkouška potrubí těsnosti, vstupní revize, vč. založení evidenční knihy chladícího zařízení</t>
  </si>
  <si>
    <t xml:space="preserve">Venkovní kondenzační jednotka systém inverter Fujistu , Qch/Qt=14,0/16,0 kW, 113,1 %, chladivo R410A, 400 V, IMPROMAT n.č.601162584                                         </t>
  </si>
  <si>
    <t>AOYG-45LBT8</t>
  </si>
  <si>
    <t>Vnitřní nástěnná jednotka , Qch/Qt=2,5/3,2 kW, vč. exp. Ventilů, vč.infraovladače,  neobsahuje čerpadlo kondenzátu</t>
  </si>
  <si>
    <t>Vnitřní kazetová jednotka , Qch/Qt=356/4,1 kW, vč. infraovladače a  čerpadlo kondenzátu, čtař. výdechy</t>
  </si>
  <si>
    <t>AUYG-12GALH</t>
  </si>
  <si>
    <t>UTP-PVO3A - disstribučníbox pro 3 jednotky</t>
  </si>
  <si>
    <t>UTP-PVO2A - disstribučníbox pro 2 jednotky</t>
  </si>
  <si>
    <t>UTP-SX248A - rozělovač</t>
  </si>
  <si>
    <t>ZAŘÍZENí č.12 -Větrání prostorů dětské skupiny se spaním a prostoru jeslí se spaním  v 1.PP</t>
  </si>
  <si>
    <t>Split systém inverter</t>
  </si>
  <si>
    <t>12.1.</t>
  </si>
  <si>
    <t xml:space="preserve">Sestavná vzduchotechnická rekuperační jednotka vč. M+R SAVE VTR 500-L pro stěnovou montáž ve složení, EC motory, vysoce účinný rotační rekuperátor, el. ohřívač, kapsové filtry, Vp=500m3/h, Vo=500m3/h, Qt=1,8 kW, 230V, pext=250 Pa ( možnost bezdrátového ovládání - systém SMART - příslušenství), Systemair   </t>
  </si>
  <si>
    <t>Směrná brána Smart Gate, Systemair</t>
  </si>
  <si>
    <t>Čidlo CO2, bezdrátové Smart CO2 Systemair</t>
  </si>
  <si>
    <t>kabel 2m CEC</t>
  </si>
  <si>
    <t>12.2.</t>
  </si>
  <si>
    <t xml:space="preserve">Flexo tlumič, 25 mm, 1m SonoExtra 200-1000 </t>
  </si>
  <si>
    <t>12.3.</t>
  </si>
  <si>
    <t>Žaluzie pevná, hliník IGC-LI 200 , Systemair</t>
  </si>
  <si>
    <t>12.4.</t>
  </si>
  <si>
    <t>12.5.</t>
  </si>
  <si>
    <t>Přívodní výustka pozink NOVA-C-425x75-R2, Systemair</t>
  </si>
  <si>
    <t>12.6.</t>
  </si>
  <si>
    <t>Odsávací výustka pozink NOVA-C-525x75-R1, Systemair</t>
  </si>
  <si>
    <t>12.7.</t>
  </si>
  <si>
    <t xml:space="preserve">Celkem zařízení č.12 </t>
  </si>
  <si>
    <t xml:space="preserve">Položkový rozpočet </t>
  </si>
  <si>
    <t>S:</t>
  </si>
  <si>
    <t>Sanatorium Zábřeh</t>
  </si>
  <si>
    <t>O:</t>
  </si>
  <si>
    <t>R:</t>
  </si>
  <si>
    <t>732199100RM1</t>
  </si>
  <si>
    <t>Otopná tělesa</t>
  </si>
  <si>
    <t>904      R02</t>
  </si>
  <si>
    <t>Hzs-zkousky v ramci montaz.praci, Topná zkouška</t>
  </si>
  <si>
    <t>h</t>
  </si>
  <si>
    <t>5512001849R</t>
  </si>
  <si>
    <t>Termostatická jednobodová armatura 1/2"xEK; rohová, IVAR.MJ RO</t>
  </si>
  <si>
    <t>5512001838R</t>
  </si>
  <si>
    <t>KIT AVK Vekoluxivar - 1/2"xEK; 16x2; rohové, IVAR.KIT AVK DD 346/1</t>
  </si>
  <si>
    <t>735191910R00</t>
  </si>
  <si>
    <t>Napuštění vody do otopného systému - bez kotle</t>
  </si>
  <si>
    <t>735191905R00</t>
  </si>
  <si>
    <t>Oprava - odvzdušnění otopných těles</t>
  </si>
  <si>
    <t>735191905R1</t>
  </si>
  <si>
    <t>Vyregulování otopných těles</t>
  </si>
  <si>
    <t>735157121R00</t>
  </si>
  <si>
    <t>Otopná těl.panel.Radik Ventil Kompakt 10  400/ 500</t>
  </si>
  <si>
    <t>735157141R00</t>
  </si>
  <si>
    <t>Otopná těl.panel.Radik Ventil Kompakt 10  500/ 500</t>
  </si>
  <si>
    <t>735157142R00</t>
  </si>
  <si>
    <t>Otopná těl.panel.Radik Ventil Kompakt 10  500/ 600</t>
  </si>
  <si>
    <t>735157151R00</t>
  </si>
  <si>
    <t>Otopná těl.panel.Radik Ventil Kompakt 10  500/1800</t>
  </si>
  <si>
    <t>735157160R00</t>
  </si>
  <si>
    <t>Otopná těl.panel.Radik Ventil Kompakt 10  600/ 400</t>
  </si>
  <si>
    <t>735157161R00</t>
  </si>
  <si>
    <t>Otopná těl.panel.Radik Ventil Kompakt 10  600/ 500</t>
  </si>
  <si>
    <t>735157162R00</t>
  </si>
  <si>
    <t>Otopná těl.panel.Radik Ventil Kompakt 10  600/ 600</t>
  </si>
  <si>
    <t>735157163R00</t>
  </si>
  <si>
    <t>Otopná těl.panel.Radik Ventil Kompakt 10  600/ 700</t>
  </si>
  <si>
    <t>735157164R00</t>
  </si>
  <si>
    <t>Otopná těl.panel.Radik Ventil Kompakt 10  600/ 800</t>
  </si>
  <si>
    <t>735157165R00</t>
  </si>
  <si>
    <t>Otopná těl.panel.Radik Ventil Kompakt 10  600/ 900</t>
  </si>
  <si>
    <t>735157166R00</t>
  </si>
  <si>
    <t>Otopná těl.panel.Radik Ventil Kompakt 10  600/1000</t>
  </si>
  <si>
    <t>735157167R00</t>
  </si>
  <si>
    <t>Otopná těl.panel.Radik Ventil Kompakt 10  600/1100</t>
  </si>
  <si>
    <t>735157168R00</t>
  </si>
  <si>
    <t>Otopná těl.panel.Radik Ventil Kompakt 10  600/1200</t>
  </si>
  <si>
    <t>735157169R00</t>
  </si>
  <si>
    <t>Otopná těl.panel.Radik Ventil Kompakt 10  600/1400</t>
  </si>
  <si>
    <t>735157170R00</t>
  </si>
  <si>
    <t>Otopná těl.panel.Radik Ventil Kompakt 10  600/1600</t>
  </si>
  <si>
    <t>735157171R00</t>
  </si>
  <si>
    <t>Otopná těl.panel.Radik Ventil Kompakt 10  600/1800</t>
  </si>
  <si>
    <t>735157172R00</t>
  </si>
  <si>
    <t>Otopná těl.panel.Radik Ventil Kompakt 10  600/2000</t>
  </si>
  <si>
    <t>735157180R1</t>
  </si>
  <si>
    <t>Otopná těl.panel.Radik Ventil Kompakt 10  700/ 400</t>
  </si>
  <si>
    <t>735157181R1</t>
  </si>
  <si>
    <t>Otopná těl.panel.Radik Ventil Kompakt 10  700/ 500</t>
  </si>
  <si>
    <t>735157182R1</t>
  </si>
  <si>
    <t>Otopná těl.panel.Radik Ventil Kompakt 10  700/ 600</t>
  </si>
  <si>
    <t>735157183R1</t>
  </si>
  <si>
    <t>Otopná těl.panel.Radik Ventil Kompakt 10  700/ 700</t>
  </si>
  <si>
    <t>735157184R1</t>
  </si>
  <si>
    <t>Otopná těl.panel.Radik Ventil Kompakt 10  700/ 800</t>
  </si>
  <si>
    <t>735157185R1</t>
  </si>
  <si>
    <t>Otopná těl.panel.Radik Ventil Kompakt 10  700/ 900</t>
  </si>
  <si>
    <t>735157186R1</t>
  </si>
  <si>
    <t>Otopná těl.panel.Radik Ventil Kompakt 10  700/1000</t>
  </si>
  <si>
    <t>735157187R1</t>
  </si>
  <si>
    <t>Otopná těl.panel.Radik Ventil Kompakt 10  700/1100</t>
  </si>
  <si>
    <t>735157188R1</t>
  </si>
  <si>
    <t>Otopná těl.panel.Radik Ventil Kompakt 10  700/1200</t>
  </si>
  <si>
    <t>735157189R1</t>
  </si>
  <si>
    <t>Otopná těl.panel.Radik Ventil Kompakt 10  700/1400</t>
  </si>
  <si>
    <t>735157190R1</t>
  </si>
  <si>
    <t>Otopná těl.panel.Radik Ventil Kompakt 10  700/1600</t>
  </si>
  <si>
    <t>735157181R00</t>
  </si>
  <si>
    <t>Otopná těl.panel.Radik Ventil Kompakt 10  900/ 500</t>
  </si>
  <si>
    <t>735157182R00</t>
  </si>
  <si>
    <t>Otopná těl.panel.Radik Ventil Kompakt 10  900/ 600</t>
  </si>
  <si>
    <t>735157183R00</t>
  </si>
  <si>
    <t>Otopná těl.panel.Radik Ventil Kompakt 10  900/ 700</t>
  </si>
  <si>
    <t>735157184R00</t>
  </si>
  <si>
    <t>Otopná těl.panel.Radik Ventil Kompakt 10  900/ 800</t>
  </si>
  <si>
    <t>735157185R00</t>
  </si>
  <si>
    <t>Otopná těl.panel.Radik Ventil Kompakt 10  900/ 900</t>
  </si>
  <si>
    <t>735157186R00</t>
  </si>
  <si>
    <t>Otopná těl.panel.Radik Ventil Kompakt 10  900/1000</t>
  </si>
  <si>
    <t>735157188R00</t>
  </si>
  <si>
    <t>Otopná těl.panel.Radik Ventil Kompakt 10  900/1200</t>
  </si>
  <si>
    <t>735157263R00</t>
  </si>
  <si>
    <t>Otopná těl.panel.Radik Ventil Kompakt 11  600/ 700</t>
  </si>
  <si>
    <t>735157266R00</t>
  </si>
  <si>
    <t>Otopná těl.panel.Radik Ventil Kompakt 11  600/1000</t>
  </si>
  <si>
    <t>735157267R00</t>
  </si>
  <si>
    <t>Otopná těl.panel.Radik Ventil Kompakt 11  600/1100</t>
  </si>
  <si>
    <t>735157268R00</t>
  </si>
  <si>
    <t>Otopná těl.panel.Radik Ventil Kompakt 11  600/1200</t>
  </si>
  <si>
    <t>735157269R00</t>
  </si>
  <si>
    <t>Otopná těl.panel.Radik Ventil Kompakt 11  600/1400</t>
  </si>
  <si>
    <t>735157270R00</t>
  </si>
  <si>
    <t>Otopná těl.panel.Radik Ventil Kompakt 11  600/1600</t>
  </si>
  <si>
    <t>735157288R1</t>
  </si>
  <si>
    <t>Otopná těl.panel.Radik Ventil Kompakt 11  700/1200</t>
  </si>
  <si>
    <t>735157281R00</t>
  </si>
  <si>
    <t>Otopná těl.panel.Radik Ventil Kompakt 11  900/ 500</t>
  </si>
  <si>
    <t>735157282R00</t>
  </si>
  <si>
    <t>Otopná těl.panel.Radik Ventil Kompakt 11  900/ 600</t>
  </si>
  <si>
    <t>735157283R00</t>
  </si>
  <si>
    <t>Otopná těl.panel.Radik Ventil Kompakt 11  900/ 700</t>
  </si>
  <si>
    <t>735157284R00</t>
  </si>
  <si>
    <t>Otopná těl.panel.Radik Ventil Kompakt 11  900/ 800</t>
  </si>
  <si>
    <t>735157285R00</t>
  </si>
  <si>
    <t>Otopná těl.panel.Radik Ventil Kompakt 11  900/ 900</t>
  </si>
  <si>
    <t>735157286R00</t>
  </si>
  <si>
    <t>Otopná těl.panel.Radik Ventil Kompakt 11  900/1000</t>
  </si>
  <si>
    <t>735157287R00</t>
  </si>
  <si>
    <t>Otopná těl.panel.Radik Ventil Kompakt 11  900/1100</t>
  </si>
  <si>
    <t>735157290R00</t>
  </si>
  <si>
    <t>Otopná těl.panel.Radik Ventil Kompakt 11  900/1600</t>
  </si>
  <si>
    <t>735157564R00</t>
  </si>
  <si>
    <t>Otopná těl.panel.Radik Ventil Kompakt 21  600/ 800</t>
  </si>
  <si>
    <t>735157567R00</t>
  </si>
  <si>
    <t>Otopná těl.panel.Radik Ventil Kompakt 21  600/1100</t>
  </si>
  <si>
    <t>735157568R00</t>
  </si>
  <si>
    <t>Otopná těl.panel.Radik Ventil Kompakt 21  600/1200</t>
  </si>
  <si>
    <t>735157569R00</t>
  </si>
  <si>
    <t>Otopná těl.panel.Radik Ventil Kompakt 21  600/1400</t>
  </si>
  <si>
    <t>735157572R00</t>
  </si>
  <si>
    <t>Otopná těl.panel.Radik Ventil Kompakt 21  600/2000</t>
  </si>
  <si>
    <t>735157588R1</t>
  </si>
  <si>
    <t>Otopná těl.panel.Radik Ventil Kompakt 21  700/1200</t>
  </si>
  <si>
    <t>735157590R1</t>
  </si>
  <si>
    <t>Otopná těl.panel.Radik Ventil Kompakt 21  700/1600</t>
  </si>
  <si>
    <t>735157574R1</t>
  </si>
  <si>
    <t>Otopná těl.panel.Radik Ventil Kompakt 21  700/2600</t>
  </si>
  <si>
    <t>735157581R00</t>
  </si>
  <si>
    <t>Otopná těl.panel.Radik Ventil Kompakt 21  900/ 500</t>
  </si>
  <si>
    <t>735157586R00</t>
  </si>
  <si>
    <t>Otopná těl.panel.Radik Ventil Kompakt 21  900/1000</t>
  </si>
  <si>
    <t>735157587R00</t>
  </si>
  <si>
    <t>Otopná těl.panel.Radik Ventil Kompakt 21  900/1100</t>
  </si>
  <si>
    <t>735157588R00</t>
  </si>
  <si>
    <t>Otopná těl.panel.Radik Ventil Kompakt 21  900/1200</t>
  </si>
  <si>
    <t>735157589R00</t>
  </si>
  <si>
    <t>Otopná těl.panel.Radik Ventil Kompakt 21  900/1400</t>
  </si>
  <si>
    <t>735157666R00</t>
  </si>
  <si>
    <t>Otopná těl.panel.Radik Ventil Kompakt 22  600/1000</t>
  </si>
  <si>
    <t>735157667R00</t>
  </si>
  <si>
    <t>Otopná těl.panel.Radik Ventil Kompakt 22  600/1100</t>
  </si>
  <si>
    <t>735157681R1</t>
  </si>
  <si>
    <t>Otopná těl.panel.Radik Ventil Kompakt 22  700/ 500</t>
  </si>
  <si>
    <t>735157687R00</t>
  </si>
  <si>
    <t>Otopná těl.panel.Radik Ventil Kompakt 22  900/1100</t>
  </si>
  <si>
    <t>735157781R00</t>
  </si>
  <si>
    <t>Otopná těl.panel.Radik Ventil Kompakt 33  900/ 500</t>
  </si>
  <si>
    <t>735157782R00</t>
  </si>
  <si>
    <t>Otopná těl.panel.Radik Ventil Kompakt 33  900/ 600</t>
  </si>
  <si>
    <t>735157788R00</t>
  </si>
  <si>
    <t>Otopná těl.panel.Radik Ventil Kompakt 33  900/1200</t>
  </si>
  <si>
    <t>735171111R00</t>
  </si>
  <si>
    <t>Těleso trub. Koralux Linear Comfort KLT 1500.600</t>
  </si>
  <si>
    <t>735171115R00</t>
  </si>
  <si>
    <t>Těleso trub. Koralux Linear Comfort KLT 1820.750</t>
  </si>
  <si>
    <t>998735101R00</t>
  </si>
  <si>
    <t>Přesun hmot pro otopná tělesa, výšky do 6 m</t>
  </si>
  <si>
    <t>998735102R00</t>
  </si>
  <si>
    <t>Přesun hmot pro otopná tělesa, výšky do 12 m</t>
  </si>
  <si>
    <t>732</t>
  </si>
  <si>
    <t>Strojovny</t>
  </si>
  <si>
    <t>Montáž orientačního štítku včetně dodávky štítku</t>
  </si>
  <si>
    <t>732 11-0001</t>
  </si>
  <si>
    <t>Kombinovaný zásobník Buderus LOGALUX</t>
  </si>
  <si>
    <t>733 11-0002</t>
  </si>
  <si>
    <t>ZásobníkLogalux PR 1000-120</t>
  </si>
  <si>
    <t>733 11-0003</t>
  </si>
  <si>
    <t>Armaturní sestavy u rozdělovače</t>
  </si>
  <si>
    <t>KPL</t>
  </si>
  <si>
    <t>734 11-0004</t>
  </si>
  <si>
    <t>Čerpadlo na jednotlivých větvích</t>
  </si>
  <si>
    <t>734 11-0005</t>
  </si>
  <si>
    <t>Rozdělovač</t>
  </si>
  <si>
    <t>735 11-0006</t>
  </si>
  <si>
    <t>expanzní nádoba MAG 35</t>
  </si>
  <si>
    <t>735 11-0007</t>
  </si>
  <si>
    <t>Řídící jednotka</t>
  </si>
  <si>
    <t>736 11-0008</t>
  </si>
  <si>
    <t>Měření spotřeby</t>
  </si>
  <si>
    <t>998732201R00</t>
  </si>
  <si>
    <t>Přesun hmot pro strojovny v objektech H do 6 m</t>
  </si>
  <si>
    <t>009: Ostatní konstrukce a práce</t>
  </si>
  <si>
    <t>nabídka</t>
  </si>
  <si>
    <t xml:space="preserve">Dodávka hasících přístrojů dle PBRS </t>
  </si>
  <si>
    <t>952901221</t>
  </si>
  <si>
    <t>D+M požární ucpávky dle požadavků PBRS</t>
  </si>
  <si>
    <t>099: Přesun hmot HSV</t>
  </si>
  <si>
    <t>998011003</t>
  </si>
  <si>
    <t>Přesun hmot pro budovy zděné v do 24 m</t>
  </si>
  <si>
    <t>B</t>
  </si>
  <si>
    <t>ZTI</t>
  </si>
  <si>
    <t>725</t>
  </si>
  <si>
    <t>Zařizovací předměty</t>
  </si>
  <si>
    <t>725119110R00</t>
  </si>
  <si>
    <t>725119205R00</t>
  </si>
  <si>
    <t>725219401R00</t>
  </si>
  <si>
    <t>725330810T00</t>
  </si>
  <si>
    <t>725829301R00</t>
  </si>
  <si>
    <t>725869204R00</t>
  </si>
  <si>
    <t>725 11-9205.D01</t>
  </si>
  <si>
    <t>725 11-9205.D02</t>
  </si>
  <si>
    <t>725 11-9205.D03</t>
  </si>
  <si>
    <t>725 11-9205.D05</t>
  </si>
  <si>
    <t>725 11-9205.D06</t>
  </si>
  <si>
    <t>Doplňkové zařízení - upevnění</t>
  </si>
  <si>
    <t>Zápachová uzávěra HL 132 - DN 40</t>
  </si>
  <si>
    <t>Sada mont. šroubů k umyvadlům</t>
  </si>
  <si>
    <t>Souprava upevňovací pro výlevku</t>
  </si>
  <si>
    <t>Pisoár s příslušenstvím</t>
  </si>
  <si>
    <t>998725201R00</t>
  </si>
  <si>
    <t>Přesun hmot pro obor 725 na objektech H do 6 m</t>
  </si>
  <si>
    <t>0,53</t>
  </si>
  <si>
    <t>998725293R00</t>
  </si>
  <si>
    <t>Příplatek za zvětš.přesun pro obor 725 - do 500 m</t>
  </si>
  <si>
    <t>0,62</t>
  </si>
  <si>
    <t>Celkem ZTI</t>
  </si>
  <si>
    <t>KUS</t>
  </si>
  <si>
    <t>Montáž montážního prvku pro WC</t>
  </si>
  <si>
    <t>Montáž klozetových mís závěsných</t>
  </si>
  <si>
    <t>Montáž klozetových mís stojací</t>
  </si>
  <si>
    <t>Montáž umyvadel na šrouby do zdiva</t>
  </si>
  <si>
    <t>Montáž výlevky nástěnné</t>
  </si>
  <si>
    <t>Montáž baterie umyv.a dřezové stojánkové</t>
  </si>
  <si>
    <t>Montáž uzávěrek zápach.dřez.jednoduchý D 40</t>
  </si>
  <si>
    <t>Klozet závěsný JIKA Dino č.2137.0</t>
  </si>
  <si>
    <t>Klozet závěsný bezbariérový</t>
  </si>
  <si>
    <t>Klozet závěsný dětský</t>
  </si>
  <si>
    <t>725 11-9205.D04</t>
  </si>
  <si>
    <t>Klozet kombinační</t>
  </si>
  <si>
    <t>Klozet kombinační bezbariérový</t>
  </si>
  <si>
    <t>Mont. prvek pro WC ( např. GEBERIT Duofix č. 111.300.001)</t>
  </si>
  <si>
    <t>725 11-9205.D07</t>
  </si>
  <si>
    <t>WC sedátko ( např.  LAUFEN Object č.9021.0 plastové)</t>
  </si>
  <si>
    <t>725 11-9205.D08</t>
  </si>
  <si>
    <t>Ovl.deska ( např. Samba, zepředu, bílá, G 115.770.11)</t>
  </si>
  <si>
    <t>725 11-9205.D09</t>
  </si>
  <si>
    <t>725 11-9205.D10</t>
  </si>
  <si>
    <t>Umyvadlo ( např.JIKA Lyra č.1434.1 - s otvorem)</t>
  </si>
  <si>
    <t>725 11-9205.D11</t>
  </si>
  <si>
    <t>Umývadlo dětské</t>
  </si>
  <si>
    <t>725 11-9205.D12</t>
  </si>
  <si>
    <t>725 11-9205.D13</t>
  </si>
  <si>
    <t>725 11-9205.D14</t>
  </si>
  <si>
    <t>Kryt na sifon JIKA Lyra č.1934.1, bílý</t>
  </si>
  <si>
    <t>725 11-9205.D15</t>
  </si>
  <si>
    <t>Baterie dřez.nást.páková</t>
  </si>
  <si>
    <t>725 11-9205.D16</t>
  </si>
  <si>
    <t>Výlevka keramická, nerez mřížka</t>
  </si>
  <si>
    <t>725 11-9205.D17</t>
  </si>
  <si>
    <t>725 11-9205.D19</t>
  </si>
  <si>
    <t>Sifon pro výlevku TE 965A - DN 50</t>
  </si>
  <si>
    <t>725 11-9205.D20</t>
  </si>
  <si>
    <t>725 11-9205.D21</t>
  </si>
  <si>
    <t>Pisoárová dělící stěna</t>
  </si>
  <si>
    <t>725 11-9205.D22</t>
  </si>
  <si>
    <t>Sprchový kout  900x900 mm se zástěnou a příslušenstvím - D+M</t>
  </si>
  <si>
    <t>725 11-9205.D23</t>
  </si>
  <si>
    <t>Sprchový kout se zástěnou 720x900 mm + vanička+ příslušenství D+M</t>
  </si>
  <si>
    <t>725 11-9205.D24</t>
  </si>
  <si>
    <t>Sprchový kout se zástěnou rohový 900 mm + vanička+příslušenství D+M</t>
  </si>
  <si>
    <t>725 11-9205.D25</t>
  </si>
  <si>
    <t>Sprchový komplet (hadice 150 cm, tyč 90 cm, rúžice s úsporným proudem)</t>
  </si>
  <si>
    <t>725 11-9205.D26</t>
  </si>
  <si>
    <t>Baterie páková pro sprchu</t>
  </si>
  <si>
    <t>725 11-9205.D28</t>
  </si>
  <si>
    <t>Sprchový žlab se spodním odtokem DN 40</t>
  </si>
  <si>
    <t>725 11-9205.D29</t>
  </si>
  <si>
    <t>Vana 1600x700 mm</t>
  </si>
  <si>
    <t>725 11-9205.D30</t>
  </si>
  <si>
    <t>Bezbariérové madlo pro vanu</t>
  </si>
  <si>
    <t>725 11-9205.D31</t>
  </si>
  <si>
    <t>Baterie páková pro vanu</t>
  </si>
  <si>
    <t>721: Zdravotechnické instalace</t>
  </si>
  <si>
    <t>721290113</t>
  </si>
  <si>
    <t>Zdravotechnické instalace - viz samostatný rozpočet</t>
  </si>
  <si>
    <t>642942721</t>
  </si>
  <si>
    <t>Osazování zárubní nebo rámů dveřních kovových do 4 m2 na montážní pěnu</t>
  </si>
  <si>
    <t>6/D;22</t>
  </si>
  <si>
    <t>11/D;1</t>
  </si>
  <si>
    <t>12/D;7</t>
  </si>
  <si>
    <t>19/D;2</t>
  </si>
  <si>
    <t>21/D;2</t>
  </si>
  <si>
    <t>22/D;1</t>
  </si>
  <si>
    <t>24/D;5</t>
  </si>
  <si>
    <t>55331400</t>
  </si>
  <si>
    <t>Zárubeň ocelová pro s drážkou, gumové těsnění, RAL  700/1970 L/P</t>
  </si>
  <si>
    <t>55331402</t>
  </si>
  <si>
    <t>Zárubeň ocelová pro s drážkou, gumové těsnění, RAL  800/1970 L/P</t>
  </si>
  <si>
    <t>55331404</t>
  </si>
  <si>
    <t>Zárubeň ocelová pro s drážkou, gumové těsnění, RAL  900/1970 L/P</t>
  </si>
  <si>
    <t>55331406</t>
  </si>
  <si>
    <t>Zárubeň ocelová pro s drážkou, gumové těsnění, RAL  1100/1970 L/P</t>
  </si>
  <si>
    <t>55331408</t>
  </si>
  <si>
    <t>Zárubeň ocelová pro s drážkou, gumové těsnění, RAL  1450/2100 L/P, požární odolnost</t>
  </si>
  <si>
    <t>55331409</t>
  </si>
  <si>
    <t>Zárubeň ocelová pro s drážkou, gumové těsnění, RAL  1600/2100 L/P,požární odolnost</t>
  </si>
  <si>
    <t>611421431</t>
  </si>
  <si>
    <t>Oprava vnitřních omítek vápenných štukových stropů ŽB rovných v rozsahu do 50 %</t>
  </si>
  <si>
    <t>1.NP;</t>
  </si>
  <si>
    <t>odhad, vše nad podhledem SDK;200</t>
  </si>
  <si>
    <t xml:space="preserve">Vzduchotechnika (bez trubní části)           </t>
  </si>
  <si>
    <t>952901111</t>
  </si>
  <si>
    <t>Vyčištění budov bytové a občanské výstavby při výšce podlaží do 4 m</t>
  </si>
  <si>
    <t>949101111</t>
  </si>
  <si>
    <t>Lešení pomocné pro objekty pozemních staveb s lešeňovou podlahou v do 1,9 m zatížení do 150 kg/m2</t>
  </si>
  <si>
    <t>D+M jídelního výtahu</t>
  </si>
  <si>
    <t>Čístící rohože vstupu</t>
  </si>
  <si>
    <r>
      <rPr>
        <sz val="8"/>
        <color indexed="10"/>
        <rFont val="Arial Narrow"/>
        <family val="2"/>
      </rPr>
      <t xml:space="preserve"> </t>
    </r>
    <r>
      <rPr>
        <sz val="8"/>
        <color indexed="40"/>
        <rFont val="Arial Narrow"/>
        <family val="2"/>
      </rPr>
      <t>oprava stávajících ploch 1830</t>
    </r>
  </si>
  <si>
    <t>A Komunikace, parkoviště - 1830 m2</t>
  </si>
  <si>
    <t>Frézování stávající asfaltové plochy tl. do 40 mm, likvidace recyklátu, skládkovné</t>
  </si>
  <si>
    <t>002: Základy</t>
  </si>
  <si>
    <t>274313811</t>
  </si>
  <si>
    <t>Základové pásy z betonu tř. C 25/30</t>
  </si>
  <si>
    <t>boční schodiště</t>
  </si>
  <si>
    <t>15,8*0,6*1,2*2</t>
  </si>
  <si>
    <t>schodiště rampa kancelář</t>
  </si>
  <si>
    <t>0,76*0,6*(3,63+2,37)+0,6*0,8*1,2*2</t>
  </si>
  <si>
    <t>únikové schodiště</t>
  </si>
  <si>
    <t>1,5*1,2*0,6*2</t>
  </si>
  <si>
    <t>274354111</t>
  </si>
  <si>
    <t>Bednění základových pasů - zřízení</t>
  </si>
  <si>
    <t>274354211</t>
  </si>
  <si>
    <t>Bednění základových pasů - odstranění</t>
  </si>
  <si>
    <t>271571111</t>
  </si>
  <si>
    <t>Polštáře zhutněné pod základy ze štěrkopísku tříděného  ŠP 0-32</t>
  </si>
  <si>
    <t>boční schodiště;25,7*0,2*2</t>
  </si>
  <si>
    <t>rampa kanceláře;0,2*0,6*(1,8*2+3,63+2,37)+1,8*2,1*0,15</t>
  </si>
  <si>
    <t>únikové schodiště;0,15*1,5*2,3*0,6*1,5*1,2*2</t>
  </si>
  <si>
    <t>273313711</t>
  </si>
  <si>
    <t>Základové desky z betonu tř. C 20/25</t>
  </si>
  <si>
    <t>3,5*6,7*0,2*2</t>
  </si>
  <si>
    <t>rampa kanceláře</t>
  </si>
  <si>
    <t>1,8*2,1*0,15</t>
  </si>
  <si>
    <t>únikové schodiště;</t>
  </si>
  <si>
    <t>1,5*2,3*0,15</t>
  </si>
  <si>
    <t>273362021</t>
  </si>
  <si>
    <t>Výztuž základových desek svařovanými sítěmi Kari</t>
  </si>
  <si>
    <t>273311127</t>
  </si>
  <si>
    <t>Základové desky z betonu prostého C 25/30</t>
  </si>
  <si>
    <t>004: Vodorovné konstrukce</t>
  </si>
  <si>
    <t>411321414</t>
  </si>
  <si>
    <t>Stropy deskové ze ŽB tř. C 25/30</t>
  </si>
  <si>
    <t>strop jídelní výtah včetně armatury a bednění</t>
  </si>
  <si>
    <t>5*0,9*0,25</t>
  </si>
  <si>
    <t>zabetonování komínů;0,6*0,6*5*5*0,25</t>
  </si>
  <si>
    <t>434351141</t>
  </si>
  <si>
    <t>Zřízení bednění stupňů přímočarých schodišť</t>
  </si>
  <si>
    <t>1,5*0,3*21*2*2</t>
  </si>
  <si>
    <t>18*0,3*1,5*2</t>
  </si>
  <si>
    <t>kanceláře; 1,8*0,3*8</t>
  </si>
  <si>
    <t>únikové schodiště; 1,5*0,3*8</t>
  </si>
  <si>
    <t>434351142</t>
  </si>
  <si>
    <t>Odstranění bednění stupňů přímočarých schodišť</t>
  </si>
  <si>
    <t>434312231</t>
  </si>
  <si>
    <t>Schody z betonu prostého C 12/15 v opěrných zídkách</t>
  </si>
  <si>
    <t>boční schodiště;21*1,5*2</t>
  </si>
  <si>
    <t>schody příjem;18*1,5</t>
  </si>
  <si>
    <t>kanceláře; 1,8*8*0,2</t>
  </si>
  <si>
    <t>únikové schodiště; 1,5*8*0,2</t>
  </si>
  <si>
    <t>435122111</t>
  </si>
  <si>
    <t>Lokální oprava a vyčištění stávajícího chodiště ke kancelářím</t>
  </si>
  <si>
    <t>m.č. 008,010,011;(20,92+87,83+17,16)*0,2</t>
  </si>
  <si>
    <t>D+M rolety výdejny jídel  m.č. 105</t>
  </si>
  <si>
    <t>SANATORIUM  ZÁBŘEH</t>
  </si>
  <si>
    <t>113154332</t>
  </si>
  <si>
    <t>938909111</t>
  </si>
  <si>
    <t>573 211111</t>
  </si>
  <si>
    <t>Vyčištění přebroušené plochy  dtrojně metením</t>
  </si>
  <si>
    <t>891001119</t>
  </si>
  <si>
    <t>Cena obsahuje odvodňovací žlab z polymerbeton 1,0m + rošt  V150 - mřížkový rošt 1,0m B125, nosnost 7 t</t>
  </si>
  <si>
    <t>7/D;11</t>
  </si>
  <si>
    <t>8/D;70</t>
  </si>
  <si>
    <t>9/D;1</t>
  </si>
  <si>
    <t>10/D;1</t>
  </si>
  <si>
    <t>13/D;46</t>
  </si>
  <si>
    <t>15/D;5</t>
  </si>
  <si>
    <t>16/D;27</t>
  </si>
  <si>
    <t>17/D;22</t>
  </si>
  <si>
    <t>18/D;77</t>
  </si>
  <si>
    <t>20/D;1</t>
  </si>
  <si>
    <t>23/D;12</t>
  </si>
  <si>
    <t>26/D;5</t>
  </si>
  <si>
    <t>27/D;5</t>
  </si>
  <si>
    <t>36/D;1</t>
  </si>
  <si>
    <t>15/D - požární odolnost;5</t>
  </si>
  <si>
    <t>16/D - požární odolnost;27</t>
  </si>
  <si>
    <t>17/D - požární odolnost;22</t>
  </si>
  <si>
    <t>14/D;3</t>
  </si>
  <si>
    <t>20/D - požární odolnost;1</t>
  </si>
  <si>
    <t>26/D - požární odolnost;5</t>
  </si>
  <si>
    <t>27/D - požární odolnost;5</t>
  </si>
  <si>
    <t>35/D;1</t>
  </si>
  <si>
    <t>69,27+22,52+23,3+99,71+15,11+55,17+12,68+20,92+87,83+17,16+10,29+35,71+36,9+6,57+3,54+7,59+6,1+2,58+16,33+14,64+37,89+4,65+5,59+6,52+6,23+32,49+5,14+6,3+5,84+11,28+20,17+21,31+2,89+9,21+17,39+43,74+37,44+6,11+37,33+16,26+12,81+15,83+9,47+15,4+4,12+24,57+12,66+14,29+8,45+28,51+8,32+2,86+10,27+4,46+27,51+67,71+100,6+2,57</t>
  </si>
  <si>
    <t>69,33+40,42+31,64+36,94+5,37+38,1+26,09+25,47+20,69+29,46+25,47+20,69+29,46+25,89+19,99+21,76+20,57+20,56+9,43+12,31+19,71+19,05+17,47+1,37+36,39+11,72+20,1+22,09+19,95+16,79+27,71+28+27,49+5+36,91+26,43+112,33+109,93</t>
  </si>
  <si>
    <t>20,92+87,83+17,16+10,29+6,57+3,54+6,1+2,58+14,64+5,59+6,52+5,14+6,3+2,89+9,21+6,11+16,26+12,81+15,83+9,47+15,4+4,12+8,32+2,86+10,27+4,46+2,57</t>
  </si>
  <si>
    <t>18,83+5,87+6,25+6,09+6,3+6,09+4,77+5,33+5,49+7,34+6,63+5,56+5,48+3,18+1,87+8,69+3,25</t>
  </si>
  <si>
    <t>5,76+6,46+5,87+6,25+6,09+6,3+6,09+4,77+5,33+7,08+1,73+1,84+5,49+5,48+5,56+7,35+6,63+5,56+5,25</t>
  </si>
  <si>
    <t>69,27+20,92+87,83+17,16+36,9+43,74+37,44+37,33+67,71</t>
  </si>
  <si>
    <t>14,01+14,16+5,18+83,25+253,84+18,83+129,83+108,63</t>
  </si>
  <si>
    <t>2.NP;69,33+40,42+36,39+112,33+109,93</t>
  </si>
  <si>
    <t>3.NP;69,33+40,42+36,39+112,33+109,93</t>
  </si>
  <si>
    <t>1.PP;418,30*1,05</t>
  </si>
  <si>
    <t>1.NP;627,73*1,05</t>
  </si>
  <si>
    <t>2.NP;368,4*1,05</t>
  </si>
  <si>
    <t>3.NP;368,4*1,05</t>
  </si>
  <si>
    <t>37,35+5,87+6,25+27,14+24,43+6,06+6,3+20,5+29,61+6,09+25,89+4,77+19,99+3,93+5,33+21,76+20,57+7,08+5,07+20,74+9,35+12,31+20,5+15,24+0,9+6,92+7,08+12,92+8,75+16,5+9,7+5,49+12,12+20,12+5,49+3,88+12,11+19,95+5,49+3,8+3,8+16,79+5,56+27,14+27,38+7,34+6,63+26,82+5,5+35,83+5,56+5,48+3,18+1,87+8,69+3,25+6,42</t>
  </si>
  <si>
    <t>31,64+5,76+6,46+36,94+5,37+38,1+5,87+6,25+26,09+25,47+6,09+6,3+20,69+29,46+6,09+25,89+4,77+19,99+3,93+5,33+21,76+20,57+5,07+7,08+20,56+9,43+12,31+19,71+19,05+17,47+1,37+1,73+11,72+1,84+7,84+20,1+3,88+5,49+22,09+19,95+3,8+5,48+16,79+27,14+5,56+27,38+7,35+6,63+26,82+5,5+35,82+5,56+5,25+25,93</t>
  </si>
  <si>
    <t>D+M dveře vnitřní 1100/2100 dle specifikace 36/D, povrch CPL</t>
  </si>
  <si>
    <t>767 11 02</t>
  </si>
  <si>
    <t>768 11 04</t>
  </si>
  <si>
    <t>767 11 05</t>
  </si>
  <si>
    <t>768 11 09</t>
  </si>
  <si>
    <t>769 11 11</t>
  </si>
  <si>
    <t>770 11 12</t>
  </si>
  <si>
    <t>769 11 13</t>
  </si>
  <si>
    <t>770 11 14</t>
  </si>
  <si>
    <t>770 11 15</t>
  </si>
  <si>
    <t>771 11 16</t>
  </si>
  <si>
    <t>770 11 17</t>
  </si>
  <si>
    <t>771 11 18</t>
  </si>
  <si>
    <t>771 11 19</t>
  </si>
  <si>
    <t>772 11 20</t>
  </si>
  <si>
    <t>771 11 21</t>
  </si>
  <si>
    <t>772 11 22</t>
  </si>
  <si>
    <t>dřevěné madlo dle výpisu prvků - výrobek 1/T</t>
  </si>
  <si>
    <t>773 11 24</t>
  </si>
  <si>
    <t>783 11 25</t>
  </si>
  <si>
    <t>774 11 26</t>
  </si>
  <si>
    <t>14,01+14,16+5,18+83,25+253,84+18,83+37,35+5,87+6,25+27,14+24,43+6,06+6,3+20,5+29,61+6,09+25,89+4,77+19,99+3,93+5,33+21,76+20,57+7,08+5,07+20,74+9,35+12,31+20,5+15,24+0,9+6,92+7,08+12,92+8,75+16,5+9,7+5,49+12,12+20,12+5,49+3,88+12,11+19,95+5,49+3,8+3,8+16,79+5,56+27,14+27,38+7,34+6,63+26,82+5,5+35,83+5,56+5,48+3,18+1,87+8,69+3,25+6,42+129,83+108,63</t>
  </si>
  <si>
    <t>69,33+40,42+31,64+5,76+6,46+36,94+5,37+38,1+5,87+6,25+26,09+25,47+6,09+6,3+20,69+29,46+6,09+25,89+4,77+19,99+3,93+5,33+21,76+20,57+5,07+7,08+20,56+9,43+12,31+19,71+19,05+17,47+1,37+1,73+11,72+1,84+7,84+20,1+3,88+5,49+22,09+19,95+3,8+5,48+16,79+27,14+5,56+27,38+7,35+6,63+26,82+5,5+35,82+5,56+5,25+25,93+36,39+112,33+109,93</t>
  </si>
  <si>
    <t>14,01+14,16+5,18+83,25+253,84+18,83+6,42</t>
  </si>
  <si>
    <t>1.PP;1268,11*1,05</t>
  </si>
  <si>
    <t>1.NP;395,69*1,05</t>
  </si>
  <si>
    <t>37,35+5,87+6,25+27,14+24,43+6,06+6,3+20,5+29,61+6,09+25,89+4,77+19,99+3,93+5,33+21,76+20,57+7,08+5,07+20,74+9,35+12,31+20,5+15,24+0,9+6,92+7,08+12,92+8,75+16,5+9,7+5,49+12,12+20,12+5,49+3,88+12,11+19,95+5,49+3,8+3,8+16,79+5,56+27,14+27,38+7,34+6,63+26,82+5,5+35,83+5,56+5,48+3,18+1,87+8,69+3,25+6,42+129,83+108,63</t>
  </si>
  <si>
    <t>949,05*1,10</t>
  </si>
  <si>
    <t>2.NP;1138,92*1,10</t>
  </si>
  <si>
    <t>3.NP;1138,92*1,1</t>
  </si>
  <si>
    <t>4.NP;1088,08*1,1</t>
  </si>
  <si>
    <t>příprava plochy před podkládkou PVC</t>
  </si>
  <si>
    <t>m.č.008;2,0*(3,4*4-2*0,9)</t>
  </si>
  <si>
    <t>m.č.010;2,0*(12,33+2+1,5+2+5,85+17+5,85-3*0,9)</t>
  </si>
  <si>
    <t>m.č.011;2,0*((5,85+2,8)*2-3*0,9)</t>
  </si>
  <si>
    <t>m.č.019;2*((2,2+1,85-0,7)*2+(2,2+0,9)*2-0,7)</t>
  </si>
  <si>
    <t>m.č.20;2,0*(1,2+2,2)*2-1,4</t>
  </si>
  <si>
    <t>m.č.022;2,0*(2,4*1,5)*2-1,8</t>
  </si>
  <si>
    <t>m.č.024;2,0*(2*(3+1,55))-1,4</t>
  </si>
  <si>
    <t>m.č.025;2*(2*(0,9+1,4)*2*2-2*1,4+2*(1,35+1,95))-1,4*3</t>
  </si>
  <si>
    <t>m.č.026,2*(2*(0,9+1,4)*2*2-2*1,4+2*(1,35+1,95))-1,4*3</t>
  </si>
  <si>
    <t>m.č.029;2*2*(3,35+1,6)-1,4</t>
  </si>
  <si>
    <t>m.č.031;2*2*(3,7+1,45)-1,8</t>
  </si>
  <si>
    <t>m.č.044;2*(2,46+2,45)*2-1,6</t>
  </si>
  <si>
    <t>m.č.042;1,5*1,5</t>
  </si>
  <si>
    <t>m.č.043;1,5*1,5</t>
  </si>
  <si>
    <t>m.č.046;2*(3,1+5,25+3,1+5,25)-1,8</t>
  </si>
  <si>
    <t>m.č.048;2*2(5,34+3,1)-1,8</t>
  </si>
  <si>
    <t>m.č.049;2*2*(3,565+2,6)-2*1,6</t>
  </si>
  <si>
    <t>m.č.051;2*(0,9+1,6)*2-1,4</t>
  </si>
  <si>
    <t>m.č.057;2*2(2,1+1,01)-2*1,6+2*2(1,5+2,1)-1,6-2*1,4+2*2(1,4+1)-2*1,4</t>
  </si>
  <si>
    <t>m.č.058;2*2(2,825+1,0)-1,6</t>
  </si>
  <si>
    <t>m.č.059;2*2(1,6+2,1)-2*1,6+2*2(2,825+1,5)-1,6-1,4+2*2*(1+1,4)-2*1,4</t>
  </si>
  <si>
    <t>m.č.060;2*2*(1,945+2,345)-1,8</t>
  </si>
  <si>
    <t>m.č.39;2*2*(1,025+2,7)-1,4</t>
  </si>
  <si>
    <t>m.č.40;2*2*(2,985+1,485)-1,4+3*2*(1,4+0,9)-3*1,4</t>
  </si>
  <si>
    <t>m.č.064;2*2*(1,5+1,7)-1,2</t>
  </si>
  <si>
    <t>m.č.105;2*(1,5+1,65+1,75+6+2,7+0,6+0,6+4,1)-1,6-1,8*3</t>
  </si>
  <si>
    <t>m.č.030;2*2*(1,65+1,95)-3*1,4+2*2*(1,4+0,8)*2-2*1,4</t>
  </si>
  <si>
    <t>635,10*1,05</t>
  </si>
  <si>
    <t>Dvojnásobné  bílé malby ze směsí za mokra výborně otěruvzdorných i výšky do 3,80 m</t>
  </si>
  <si>
    <t>SDK podhledy</t>
  </si>
  <si>
    <t>Omítky štukové stropů</t>
  </si>
  <si>
    <t>763111428</t>
  </si>
  <si>
    <t>SDK příčka tl 150 mm profil CW+UW 100 desky 2xDF 12,5 TI 40 mm 100 kg/m3 EI 90 Rw 56 dB</t>
  </si>
  <si>
    <t>Doplnění dosavadních mazanin betonem prostým plochy do 4 m2 tloušťky do 80 mm</t>
  </si>
  <si>
    <t>631312121</t>
  </si>
  <si>
    <t>0,05*(20,92+87,83+17,16+10,29+6,57+3,54+6,1+2,58+14,64+5,59+6,52+5,14+6,3+2,89+9,21+6,11+16,26+12,81+15,83+9,47+15,4+4,12+8,32+2,86+10,27+4,46+2,57)</t>
  </si>
  <si>
    <t>doplnění betonových mazanin se spádováním s místnostech umyváren a WC, tl. 50 mm</t>
  </si>
  <si>
    <t>0,05*(18,83+5,87+6,25+6,09+6,3+6,09+4,77+5,33+5,49+7,34+6,63+5,56+5,48+3,18+1,87+8,69+3,25)</t>
  </si>
  <si>
    <t>0,05*(5,76+6,46+5,87+6,25+6,09+6,3+6,09+4,77+5,33+7,08+1,73+1,84+5,49+5,48+5,56+7,35+6,63+5,56+5,25)</t>
  </si>
  <si>
    <t>Bourání podkladů pod dlažby nebo mazanin betonových nebo z litého asfaltu tl do 100 mm pl do 1 m2</t>
  </si>
  <si>
    <t>965042121</t>
  </si>
  <si>
    <t>979012112</t>
  </si>
  <si>
    <t>Svislá doprava suti na v 3,5 m</t>
  </si>
  <si>
    <t>979011121</t>
  </si>
  <si>
    <t>Svislá doprava suti a vybouraných hmot ZKD podlaží</t>
  </si>
  <si>
    <t>979083111</t>
  </si>
  <si>
    <t>Vodorovné přemístění suti s naložením a složením na skládku do 100 m</t>
  </si>
  <si>
    <t>979081111</t>
  </si>
  <si>
    <t>Odvoz suti a vybouraných hmot na skládku do 1 km</t>
  </si>
  <si>
    <t>979081121</t>
  </si>
  <si>
    <t>Odvoz suti a vybouraných hmot na skládku ZKD 1 km přes 1 km</t>
  </si>
  <si>
    <t>15 km</t>
  </si>
  <si>
    <t>979098203</t>
  </si>
  <si>
    <t>Poplatek za uložení stavebního odpadu z vybouraných  materiálů na skládce (skládkovné)</t>
  </si>
  <si>
    <t>60 % z  80,9</t>
  </si>
  <si>
    <t>m.č.020;3,2*2,195*2</t>
  </si>
  <si>
    <t>m.č.019;3,2*2,195-1,4*2</t>
  </si>
  <si>
    <t>m.č.022;3,2*1,5</t>
  </si>
  <si>
    <t>m.č.021;8,8*3,2*2-1,6+3,2*(0,7+0,5+0,7)</t>
  </si>
  <si>
    <t>m.č.023;3,2*5,85*2</t>
  </si>
  <si>
    <t>m.č.017;3,2*(2,42+0,1+2,08)-1,6+3,2*1,5</t>
  </si>
  <si>
    <t>m.č.016;3,2*1,4*2*2-2*1,4</t>
  </si>
  <si>
    <t>m.č.015;3,2*(2,55+2,42)-1,6</t>
  </si>
  <si>
    <t>m.č.014;3,2*(4,1*2+9)-2*1,6</t>
  </si>
  <si>
    <t>m.č.013;3,2*2*(4,1+8,71)-1,8</t>
  </si>
  <si>
    <t>m.č.012;3,2*(2,51+4,1)*2-1,6</t>
  </si>
  <si>
    <t>m.č.024;3,2*2*(3+1,55)-1,4</t>
  </si>
  <si>
    <t>m.č.025;3,2*(2*(1,4*2+0,9*2)-1,4)+2*(1,1+1,35)-3*1,4)</t>
  </si>
  <si>
    <t>m.č.026;3,2*(2*(1,4*2+0,9*2)-1,4)+2*(1,1+1,35)-3*1,4)</t>
  </si>
  <si>
    <t>m.č.028;3,2*(3,65*2+8,9)-4*1,4-1,6</t>
  </si>
  <si>
    <t>m.č.027;3,2*(2,5+2,6)*2-1,8</t>
  </si>
  <si>
    <t>m.č.063;3,2*18,9*2-2*1,6-2*1,9+3,2*(11,3+2*4,1+1)</t>
  </si>
  <si>
    <t>nové vnitřní příčky a stěny</t>
  </si>
  <si>
    <t>m.č.039;3,2*(2,7+1,025)*2-1,4</t>
  </si>
  <si>
    <t>m.č.040;3,2*(3*(1,4+0,9)*2-1,4)+2*(2,985+1,5)*2-4*1,4</t>
  </si>
  <si>
    <t>m.č.034;3,2*6*2</t>
  </si>
  <si>
    <t>m.č.043;3,2*5,85*2</t>
  </si>
  <si>
    <t>m.č.045;3,2*(2,61+2,55)+5,85+3,3-1,6</t>
  </si>
  <si>
    <t>m.č.046;3,2*(3,1+5,25+3,1+5,25)-1,8</t>
  </si>
  <si>
    <t>m.č.048;3,2*2(5,34+3,1)-1,8</t>
  </si>
  <si>
    <t>m.č.049;3,2*2*(3,565+2,6)-2*1,6</t>
  </si>
  <si>
    <t>m.č.047;3,2*(5,25+2,6)*2-2*1,8</t>
  </si>
  <si>
    <t>m.č.050;3,2*2*(3,1+4,985)-1,6</t>
  </si>
  <si>
    <t>m.č.061;3,2*2*(6,76+2,6)-1,6-2*1,8</t>
  </si>
  <si>
    <t>m.č.058;3,2*2(2,825+1,0)-1,6</t>
  </si>
  <si>
    <t>m.č.057;3,2*2(2,1+1,01)-2*1,6+2*2(1,5+2,1)-1,6-2*1,4+2*2(1,4+1)-2*1,4</t>
  </si>
  <si>
    <t>m.č.060;3,2*2*(1,945+2,345)-1,8</t>
  </si>
  <si>
    <t>m.č.56;3,2*(4,1*2)</t>
  </si>
  <si>
    <t>m.č.054;3,2*4,1*2</t>
  </si>
  <si>
    <t>m.č.055;3,2*4,1*2</t>
  </si>
  <si>
    <t>m.č.051;3,2*(0,9+1,6)*2-1,4</t>
  </si>
  <si>
    <t>m.č.52;3,2*(5,85+2,85+1,7)</t>
  </si>
  <si>
    <t>m.č.53;3,2*4,1*2</t>
  </si>
  <si>
    <t>m.č.059;3,2*2(1,6+2,1)-2*1,6+3,2*2(2,825+1,5)-1,6-1,4+3,2*2*(1+1,4)-2*1,4</t>
  </si>
  <si>
    <t>m.č.020;3,2*(1,2+2,195)</t>
  </si>
  <si>
    <t>m.č.0,19;3,2*(1,85+0,9+2,195*2)-2*1,4</t>
  </si>
  <si>
    <t>m.č.021;3,2*(4,2+6,5)</t>
  </si>
  <si>
    <t>m.č.023;3,2*(6,35*2)-2,2</t>
  </si>
  <si>
    <t>m.č.028;3,2*8,85</t>
  </si>
  <si>
    <t>m.č.029;3,2*3,35</t>
  </si>
  <si>
    <t>m.č.0,31;3,2*1,45</t>
  </si>
  <si>
    <t>m.č.063;3,2*(6,7+18,14+22,75+10,695)</t>
  </si>
  <si>
    <t>m.č.033;3,2*(4,5+3,25+4,5)</t>
  </si>
  <si>
    <t>m.č.016;3,2*1,4</t>
  </si>
  <si>
    <t>m.č.015;3,2*(2,55+2,42)</t>
  </si>
  <si>
    <t>m.č.14;3,2*9</t>
  </si>
  <si>
    <t>m.č.13;3,2*8,71</t>
  </si>
  <si>
    <t>m.č.12;3,2*(4,1+2,51)</t>
  </si>
  <si>
    <t>m.č.011;3,2*(2,8*2+5,85*2)-3*1,8</t>
  </si>
  <si>
    <t>m.č.010;3,2*(12,33*2+5,85*2)-3*1,8+3,2*(9,9+3,85)</t>
  </si>
  <si>
    <t>m.č.008;3,2*(3,4+5,85)*2-2*1,8</t>
  </si>
  <si>
    <t>m.č.006;3,2*(7,865+2,25+(1,2+0,6)*2+5,85*3)</t>
  </si>
  <si>
    <t>m.č.064;3,2*1,7</t>
  </si>
  <si>
    <t>m.č.007;3,2*(1,5+6,2)</t>
  </si>
  <si>
    <t>m.č.005;3,2*(2,59+5,85)*2-1,9</t>
  </si>
  <si>
    <t>m.č.004;3,2*(7,45*2+4,8*2+2,25+13,24+9,1+2,3)</t>
  </si>
  <si>
    <t>m.č.003;3,2*4,95+2,95*3)</t>
  </si>
  <si>
    <t>m.č.001;3,2*(10,85+5,85)-3,2*2-2*1,6</t>
  </si>
  <si>
    <t>m.č.002;3,2*(4,95+0,45+2,52)+2,9*2)</t>
  </si>
  <si>
    <t>m.č.003;3,2*(4,95+0,45+2,52)+2,9*2)</t>
  </si>
  <si>
    <t>m.č.034;3,2*(6+3,55*2)</t>
  </si>
  <si>
    <t>m.č.036;3,2*3</t>
  </si>
  <si>
    <t>m.č.041;3,2*(3,15+5,4+5,85+1,0)-1,6</t>
  </si>
  <si>
    <t>m.č.042;3,2*(7,445+5,85)*2-1,6-1,8</t>
  </si>
  <si>
    <t>m.č.062;3,2*(2,7+6,4+3,3+35,4+26,5)-1,6*3-1,8-2,2</t>
  </si>
  <si>
    <t>m.č.051-060;3,2*(30,2+4+2*4,11+25,03)</t>
  </si>
  <si>
    <t>m.č.044;3,2*2,46</t>
  </si>
  <si>
    <t>m.č.045;3,2*(4,98+7,45)-1,6</t>
  </si>
  <si>
    <t>7671111</t>
  </si>
  <si>
    <t>7671112</t>
  </si>
  <si>
    <t>3,0*(3,7+6,4+3,7+6,4+3,7+3,4+3,325+3,675*3)</t>
  </si>
  <si>
    <t>3,0*(3,7+6,4+3,7+6,4+3,7+3,7+6,4+3,4+3,325+3,7*3)</t>
  </si>
  <si>
    <t>2,6*(3,7+6,4+3,7+6,4+3,7+3,7+6,4+3,4+3,325+3,7*3)</t>
  </si>
  <si>
    <t>opravy omítek stěn</t>
  </si>
  <si>
    <t>omítky nových příček</t>
  </si>
  <si>
    <t>odečet obkladů</t>
  </si>
  <si>
    <t>omítky SDK včetně penetrace</t>
  </si>
  <si>
    <t>odečet PVC na stěnách</t>
  </si>
  <si>
    <t>obklady stěn PVC,koeficient 1,1</t>
  </si>
  <si>
    <t>m.č.119;3,2*(3,4)-1,8</t>
  </si>
  <si>
    <t>m.č.121;3,2*(2+2,9+2)-1,6</t>
  </si>
  <si>
    <t>m.č.120;3,2*(2*1,3+2,9)-2*1,8-1,6</t>
  </si>
  <si>
    <t>m.č.121;3,2*3,9-1,8</t>
  </si>
  <si>
    <t>m.č.132;3,2*(3,4)-1,8</t>
  </si>
  <si>
    <t>m.č.124;3,2*(2+3,8+2)-1,6</t>
  </si>
  <si>
    <t>m.č.126;3,2*3,4-1,8</t>
  </si>
  <si>
    <t>m.č.115;3,2*(3,1+2,3)-1,6</t>
  </si>
  <si>
    <t>m.č.108,109;2*3,2*(2,2*2+2,9)-1,6*2</t>
  </si>
  <si>
    <t>m.č.104;3,2*(6+3)-3</t>
  </si>
  <si>
    <t>m.č.134;3,2*(3,05)-1,6</t>
  </si>
  <si>
    <t>m.č.135;3,2*2*(3,05+2,75)-4*1,6</t>
  </si>
  <si>
    <t>m.č.136;3,2*(2,895+5,7)-1,6</t>
  </si>
  <si>
    <t>m.č.137;3,2*(3,35+2,89)-1,6</t>
  </si>
  <si>
    <t>m.č.139;3,2*(3,675)-1,6</t>
  </si>
  <si>
    <t>m.č.141;3,2*(3,1+1,985*2)-1,6</t>
  </si>
  <si>
    <t>m.č.142;3,2*(3,1+1,4*2)-3*1,6</t>
  </si>
  <si>
    <t>m.č.143;3,2*(3,4)-1,8</t>
  </si>
  <si>
    <t>m.č.145;3,2*(2,675+1,985*2)-1,6</t>
  </si>
  <si>
    <t>m.č.144;3,2*3,4*1,8</t>
  </si>
  <si>
    <t>m.č.147;3,2*3,4*1,8</t>
  </si>
  <si>
    <t>m.č.158;3,2*2*(2,5+0,975)-1,6</t>
  </si>
  <si>
    <t>m.č.157;3,2*2*(2,3+0,975)-1,6+3,2*(2,3+0,975)-1,6</t>
  </si>
  <si>
    <t>m.č.156;3,2*(2,2+2,7)*2-1,6</t>
  </si>
  <si>
    <t>m.č.160;3,2*(2*3,1+1,85*4+4*1,4)-4*1,4-1,6</t>
  </si>
  <si>
    <t>m.č.161;3,2*(1,5+2,1)*2-1,8</t>
  </si>
  <si>
    <t>m.č.162;3,2*(3,25+1,875*2)</t>
  </si>
  <si>
    <t>m.č.155;3,2*(3,7+2,75*2+2,3*2)-1,6-1,8</t>
  </si>
  <si>
    <t>m.č.154;3,2*(2,2+2,75)*2-1,8</t>
  </si>
  <si>
    <t>m.č.153;3,2*(2,3+3,15)-1,6</t>
  </si>
  <si>
    <t>m.č.152;3,2*(2,2+3,15)*2-1,6</t>
  </si>
  <si>
    <t>m.č.151;3,2*(2,2+3,15)*2-1,6</t>
  </si>
  <si>
    <t>m.č.150;3,2*(3,1+2,75*2)-1,6</t>
  </si>
  <si>
    <t>m.č.148;3,2*(2,7+2,2)*2-1,6</t>
  </si>
  <si>
    <t>m.č.117;3,2*(5,15+3,7)</t>
  </si>
  <si>
    <t>m.č.115;3,2*(6,05+2,95)</t>
  </si>
  <si>
    <t>m.č.114;3,2*(4,5+1,5)</t>
  </si>
  <si>
    <t>m.č.111;3,2*(5,18+2,08)</t>
  </si>
  <si>
    <t>m.č.110;3,2*(2,575+5,575)</t>
  </si>
  <si>
    <t>m.č.110;3,2*(3,0+2,3)-1,6</t>
  </si>
  <si>
    <t>m.č.107;3,2*(2,3+3,0)+6*3,2-1,6</t>
  </si>
  <si>
    <t>m.č.105;3,2*(1,5+1,65+1,75+6+2,7+0,6+0,6+4,1)-1,6-1,8*3</t>
  </si>
  <si>
    <t>m.č.111;3,2*(3,1+2,3)-1,6</t>
  </si>
  <si>
    <t>m.č.112;3,2*(2,3*2+3,1)-1,6</t>
  </si>
  <si>
    <t>m.č.113;3,2*(2,3*2+2,9)-1,6</t>
  </si>
  <si>
    <t>m.č.114;3,2*(2,3+2,92)-1,6</t>
  </si>
  <si>
    <t>m.č.116;3,2*(2*3+2,2)-1,6</t>
  </si>
  <si>
    <t>m.č.117;3,2*(2,5+2,3+2,3)-1,6</t>
  </si>
  <si>
    <t>m.č.118;3,2*(2,4+2,4)-1,6</t>
  </si>
  <si>
    <t>m.č.125;3,2*(1,3*2+3,8)-2*1,8*1,6</t>
  </si>
  <si>
    <t>m.č.104;3,2*(29,37+26,58+9,05+5*0,6*4)</t>
  </si>
  <si>
    <t>m.č.119;3,2*(3,4+5,88)</t>
  </si>
  <si>
    <t>m.č.122;3,2*(6,4*2)</t>
  </si>
  <si>
    <t>m.č.123;3,2*6,05*2</t>
  </si>
  <si>
    <t>m.č.125;3,2*3,8-1,8</t>
  </si>
  <si>
    <t>m.č.126;3,2*(6,1*2+3,4)</t>
  </si>
  <si>
    <t>m.č.127;3,2*(2,75+3,4)*2-1,8</t>
  </si>
  <si>
    <t>m.č.128;3,2*(3,4+3,62)*2-1,8</t>
  </si>
  <si>
    <t>m.č.129;3,2*(3,4+6,23)*2</t>
  </si>
  <si>
    <t>m.č.164;3,2*(44,25*2+1,5)</t>
  </si>
  <si>
    <t>m.č.103;3,2*(6+14,6)*2-3,2*3</t>
  </si>
  <si>
    <t>m.č.101,102;3,2*(2,55+2,55+2,8)</t>
  </si>
  <si>
    <t>m.č.163;3,2*(6,6+8,9*2+3,3+1,5+34,14*2+1,5)</t>
  </si>
  <si>
    <t>m.č.134;3,2*(3,0+4,3)</t>
  </si>
  <si>
    <t>m.č.136;3,2*(2,85+5,7)</t>
  </si>
  <si>
    <t>m.č.137;3,2*3,35</t>
  </si>
  <si>
    <t>m.č.139;3,2*(3,4*2+3,675)</t>
  </si>
  <si>
    <t>m.č.140;3,2*(5,94*2+3,4)-1,6</t>
  </si>
  <si>
    <t>m.č.142;3,2*3,1-3*1,8</t>
  </si>
  <si>
    <t>m.č.143;3,2*5,45</t>
  </si>
  <si>
    <t>m.č.144;3,2*4,975</t>
  </si>
  <si>
    <t>m.č.147;3,2*(3,325+4,8)</t>
  </si>
  <si>
    <t>m.č.149;3,2*(5,45+5,9)</t>
  </si>
  <si>
    <t>m.č.150;3,2*(5,615+2,6)-1,8</t>
  </si>
  <si>
    <t>m.č.153;3,2*(2,25+5,60)-1,8</t>
  </si>
  <si>
    <t>m.č.155;3,2*(7,95+2,5)-1,8</t>
  </si>
  <si>
    <t>m.č.162;3,2*3,25-1,6</t>
  </si>
  <si>
    <t>m.č.107;3,2*(7,4+4,375)</t>
  </si>
  <si>
    <t>24636110</t>
  </si>
  <si>
    <t>Tmela latexový bílý V 5010</t>
  </si>
  <si>
    <t>m.č.220;3,0*(3,4+5,88)</t>
  </si>
  <si>
    <t>m.č.224;3,0*(6,5)*2</t>
  </si>
  <si>
    <t>m.č.223;3,0*(6,4)*2</t>
  </si>
  <si>
    <t>m.č.221;3,0*(2,97)-1,8</t>
  </si>
  <si>
    <t>m.č.225;3,0*3,8-1,8</t>
  </si>
  <si>
    <t>m.č.227;3,0*6,05*2</t>
  </si>
  <si>
    <t>m.č.228;3,0*2,775*2-1,8</t>
  </si>
  <si>
    <t>m.č.229;3,0*(3,62*2+3,4*2)-1,8</t>
  </si>
  <si>
    <t>m.č.230;3,0*(3,25+6,8*2)</t>
  </si>
  <si>
    <t>m.č.201;3,0*(10,625+6)-2-4,75*1,5-1,8*2*2+1,6*2-1,8*2</t>
  </si>
  <si>
    <t>m.č.218;3,0*(5,15+3,7+2,65)-1,8</t>
  </si>
  <si>
    <t>m.č.216;3,0*(6,02+3,02)-1,8</t>
  </si>
  <si>
    <t>m.č.212;3,0*(5,34+2,24)-1,8</t>
  </si>
  <si>
    <t>m.č.211;3,0*(5,41+2,41)-1,8</t>
  </si>
  <si>
    <t>m.č.208;3,0*(7,5+4,5)-1,8</t>
  </si>
  <si>
    <t>m.č.206;3,0*(7,425+3,91)-1,8</t>
  </si>
  <si>
    <t>m.č.203;3,0*(7,07+1,995)-1,8</t>
  </si>
  <si>
    <t>m.č.202;3,0*(6,75+6+6,75)-1,8</t>
  </si>
  <si>
    <t>m.č.263;3,0*(45,8*2)-4*1,8-7*1,8</t>
  </si>
  <si>
    <t>m.č.233;3,0*2,575</t>
  </si>
  <si>
    <t>m.č.236;3,0*(5,765*2+2,7)-2,2</t>
  </si>
  <si>
    <t>m.č.239;3,0*(6+6,125)</t>
  </si>
  <si>
    <t>m.č.240;3,0*(3,5*2)-1,8</t>
  </si>
  <si>
    <t>m.č.242;3,0*(3,125+3,35+1,8)-1,8</t>
  </si>
  <si>
    <t>m.č.244;3,0*(3,0)-1,8</t>
  </si>
  <si>
    <t>m.č.246;3,0*2*6,595</t>
  </si>
  <si>
    <t>m.č.247;3,0*(6,0)*2</t>
  </si>
  <si>
    <t>m.č.248;3,0*3,0-1,8</t>
  </si>
  <si>
    <t>m.č.250;3,0*(5,05+3,325)</t>
  </si>
  <si>
    <t>m.č.251;3,0*(5,45+6,0+2,59)-1,8</t>
  </si>
  <si>
    <t>m.č.253;3,0*(5,615+2,6)-1,8</t>
  </si>
  <si>
    <t>m.č.256;3,0*(5,605+2,25)-1,8</t>
  </si>
  <si>
    <t>m.č.258;3,0*(7,95+2,49)-1,8</t>
  </si>
  <si>
    <t>m.č.261;3,0*(6+5,175+2,625)-1,8</t>
  </si>
  <si>
    <t>m.č.262;3,0*(6,45*2+3,8+2,5+37,295+2,95+30,95)-11*1,8-1,4</t>
  </si>
  <si>
    <t>m.č.243;3,0*(2*6,35)</t>
  </si>
  <si>
    <t>dtto 2.NP</t>
  </si>
  <si>
    <t>m.č.420;2,6*(3,4+5,88)</t>
  </si>
  <si>
    <t>m.č.421;2,6*(2,97)-1,8</t>
  </si>
  <si>
    <t>m.č.423;2,6*(6,4)*2</t>
  </si>
  <si>
    <t>m.č.424;2,6*(6,5)*2</t>
  </si>
  <si>
    <t>m.č.425;2,6*3,8-1,8</t>
  </si>
  <si>
    <t>m.č.427;2,6*6,05*2</t>
  </si>
  <si>
    <t>m.č.428;2,6*2,775*2-1,8</t>
  </si>
  <si>
    <t>m.č.429;2,6*(3,62*2+3,4*2)-1,8</t>
  </si>
  <si>
    <t>m.č.430;2,6*(3,25+6,8*2)</t>
  </si>
  <si>
    <t>m.č.401;2,6*(10,625+6)-2-4,75*1,5-1,8*2*2+1,6*2-1,8*2</t>
  </si>
  <si>
    <t>m.č.418;2,6*(5,15+3,7+2,65)-1,8</t>
  </si>
  <si>
    <t>m.č.416;2,6*(6,02+2,62)-1,8</t>
  </si>
  <si>
    <t>m.č.412;2,6*(5,34+2,24)-1,8</t>
  </si>
  <si>
    <t>m.č.411;2,6*(5,41+2,41)-1,8</t>
  </si>
  <si>
    <t>m.č.408;2,6*(7,5+4,5)-1,8</t>
  </si>
  <si>
    <t>m.č.406;2,6*(7,425+3,91)-1,8</t>
  </si>
  <si>
    <t>m.č.403;2,6*(7,07+1,995)-1,8</t>
  </si>
  <si>
    <t>m.č.402;2,6*(6,75+6+6,75)-1,8</t>
  </si>
  <si>
    <t>m.č.463;2,6*(45,8*2)-4*1,8-7*1,8</t>
  </si>
  <si>
    <t>m.č.431;2,6*(6+3,6)</t>
  </si>
  <si>
    <t>m.č.433;2,6*2,575</t>
  </si>
  <si>
    <t>m.č.436;2,6*(5,765*2+2,7)-2,2</t>
  </si>
  <si>
    <t>m.č.439;2,6*(6+6,125)</t>
  </si>
  <si>
    <t>m.č.440;2,6*(3,5*2)-1,8</t>
  </si>
  <si>
    <t>m.č.442;2,6*(3,125+3,35+1,8)-1,8</t>
  </si>
  <si>
    <t>m.č.443;2,6*(2*6,35)</t>
  </si>
  <si>
    <t>m.č.444;2,6*(2,6)-1,8</t>
  </si>
  <si>
    <t>m.č.446;2,6*2*6,595</t>
  </si>
  <si>
    <t>m.č.447;2,6*(6,0)*2</t>
  </si>
  <si>
    <t>m.č.448;2,6*2,6-1,8</t>
  </si>
  <si>
    <t>m.č.450;2,6*(5,05+3,325)</t>
  </si>
  <si>
    <t>m.č.451;2,6*(5,45+6,0+2,59)-1,8</t>
  </si>
  <si>
    <t>m.č.453;2,6*(5,615+2,6)-1,8</t>
  </si>
  <si>
    <t>m.č.456;2,6*(5,605+2,25)-1,8</t>
  </si>
  <si>
    <t>m.č.458;2,6*(7,95+2,49)-1,8</t>
  </si>
  <si>
    <t>m.č.461;2,6*(6+5,175+2,625)-1,8</t>
  </si>
  <si>
    <t>m.č.462;2,6*(6,45*2+3,8+2,5+37,295+2,95+30,95)-11*1,8-1,4</t>
  </si>
  <si>
    <t>m.č.149;3,2*(2,7+2,3)-1,6</t>
  </si>
  <si>
    <t>m.č.231;3,0*(6+3,6)</t>
  </si>
  <si>
    <t>m.č.043;3,2*(6,46*2+5,85)-1,8-1,6</t>
  </si>
  <si>
    <t>m.č.046 -050;3,2*(15,65+5,85+15,6)-1,8-3,4</t>
  </si>
  <si>
    <t>m.č.044;3,2*(2,45+2,46)*2)-1,8</t>
  </si>
  <si>
    <t>m.č.220;3,0*3,4-1,8</t>
  </si>
  <si>
    <t>m.č.221;3,0*(2,97+1,3*2)-1,8*2-1,6</t>
  </si>
  <si>
    <t>m.č.222;3,0*(2,97+2,0)*2-1,6</t>
  </si>
  <si>
    <t>m.č.223;3,0*3,4-1,8</t>
  </si>
  <si>
    <t>m.č.224;3,0*3,4-1,8</t>
  </si>
  <si>
    <t>m.č.225;3,0*(3,8+2*1,3)-1,6-2*1,8</t>
  </si>
  <si>
    <t>m.č.226;3,0*(3,8+2,0)*2-1,6</t>
  </si>
  <si>
    <t>m.č.227;3,0*3,4*2-1,8</t>
  </si>
  <si>
    <t>m.č.228;3,0*3,4</t>
  </si>
  <si>
    <t>m.č.230;3,0*(3,25)-1,6*2,1</t>
  </si>
  <si>
    <t>m.č.219;3,0*(1,98+2,2)*2-1,6</t>
  </si>
  <si>
    <t>m.č.218;3,0*(2,5+2,3)-1,6</t>
  </si>
  <si>
    <t>m.č.217;3,0*(2,68+2,2)*2-1,6</t>
  </si>
  <si>
    <t>m.č.216;3,0*(3,1+2,3)-1,6</t>
  </si>
  <si>
    <t>m.č.214;3,0*(2,2+2,95)*2-1,6</t>
  </si>
  <si>
    <t>m.č.215;3,0*(2,3+3,025)-1,6</t>
  </si>
  <si>
    <t>m.č.213;3,0*(2,2+2,58)*2-1,6</t>
  </si>
  <si>
    <t>m.č.212;3,0*(3,1+2,3)-1,6</t>
  </si>
  <si>
    <t>m.č.211;3,0*(3,0+2,3)-1,6</t>
  </si>
  <si>
    <t>m.č.210;3,0*(2,3+3,0)*2-1,6</t>
  </si>
  <si>
    <t>m.č.209;3,0*(2,2+2,48)*2-1,6</t>
  </si>
  <si>
    <t>m.č.208;3,0*(2,3+3,0)-1,6+3*6</t>
  </si>
  <si>
    <t>m.č.206;3,0*6+3,0*(2,465+2,3)-1,6+3,0*(2,3+0,98)-1,6</t>
  </si>
  <si>
    <t>m.č.205;3,0*(3,0+2,2)*2-1,6</t>
  </si>
  <si>
    <t>m.č.204;3,0*(2,43+2,2)*2-1,6</t>
  </si>
  <si>
    <t>m.č.203;3,0*(1,975+0,15+2,85+0,1+2,3)-1,6</t>
  </si>
  <si>
    <t>m.č.201;3,0*6-2*1,6*2,1</t>
  </si>
  <si>
    <t>m.č.231;3,0*(3,15+1,665+0,8+2,575)-1,4</t>
  </si>
  <si>
    <t>m.č.236;3,0*(3,15+0,6+0,15)</t>
  </si>
  <si>
    <t>m.č.239;3,0*(6)-1,8</t>
  </si>
  <si>
    <t>m.č.240;3,0*3,35*2</t>
  </si>
  <si>
    <t>m.č.241;3,0*(1,5+1,225)*2-1,4</t>
  </si>
  <si>
    <t>m.č.242;3,0*(3,125+1,85+1,325+1,5+1,8+3,335)-1,8</t>
  </si>
  <si>
    <t>m.č.245;3,0*(3,0+2,0)*2-1,6</t>
  </si>
  <si>
    <t>m.č.244;3,0*(3,0+1,3*2)-1,6-2*1,8</t>
  </si>
  <si>
    <t>m.č.246;3,0*3,35-1,8</t>
  </si>
  <si>
    <t>m.č.247;3,0*3,35-1,8</t>
  </si>
  <si>
    <t>m.č.249;3,0*(3,0+2,0)*2-1,6</t>
  </si>
  <si>
    <t>m.č.248;3,0*(3,0+2*1,225)-1,6-2*1,8</t>
  </si>
  <si>
    <t>m.č.250;3,0*(5,05+3,325)-1,8</t>
  </si>
  <si>
    <t>m.č.251;3,0*(2,86+2,3)-1,6</t>
  </si>
  <si>
    <t>m.č.252;3,0*(2,2+2,76)*2-1,6</t>
  </si>
  <si>
    <t>m.č.253;3,0*(3,015+2,725)-1,6</t>
  </si>
  <si>
    <t>m.č.254;3,0*(2,625+2,915)*2-1,6</t>
  </si>
  <si>
    <t>m.č.255;3,0*(2,2+3,25)*2-1,6</t>
  </si>
  <si>
    <t>m.č.256;3,0*(2,3+3,325+2,3)-1,6</t>
  </si>
  <si>
    <t>m.č.257;3,0*(2,2+2,5)*2-1,8</t>
  </si>
  <si>
    <t>m.č.258;3,0*(2,86+2,3+2,3+2,6)-1,8-1,6</t>
  </si>
  <si>
    <t>m.č.259;3,0*(2,2+2,76)*2-1,6</t>
  </si>
  <si>
    <t>m.č.260;3,0*(2,2+2,45)*2-1,6</t>
  </si>
  <si>
    <t>m.č.261;3,0*(2,3+2,55)-1,6</t>
  </si>
  <si>
    <t>m.č.243;3,0*3,35-1,8</t>
  </si>
  <si>
    <t>m.č.420;2,6*3,4-1,8</t>
  </si>
  <si>
    <t>m.č.421;2,6*(2,97+1,3*2)-1,8*2-1,6</t>
  </si>
  <si>
    <t>m.č.422;2,6*(2,97+2,0)*2-1,6</t>
  </si>
  <si>
    <t>m.č.423;2,6*3,4-1,8</t>
  </si>
  <si>
    <t>m.č.424;2,6*3,4-1,8</t>
  </si>
  <si>
    <t>m.č.425;2,6*(3,8+2*1,3)-1,6-2*1,8</t>
  </si>
  <si>
    <t>m.č.426;2,6*(3,8+2,0)*2-1,6</t>
  </si>
  <si>
    <t>m.č.427;2,6*3,4*2-1,8</t>
  </si>
  <si>
    <t>m.č.428;2,6*3,4</t>
  </si>
  <si>
    <t>m.č.430;2,6*(3,25)-1,6*2,1</t>
  </si>
  <si>
    <t>m.č.419;2,6*(1,98+2,2)*2-1,6</t>
  </si>
  <si>
    <t>m.č.418;2,6*(2,5+2,3)-1,6</t>
  </si>
  <si>
    <t>m.č.417;2,6*(2,68+2,2)*2-1,6</t>
  </si>
  <si>
    <t>m.č.416;2,6*(3,1+2,3)-1,6</t>
  </si>
  <si>
    <t>m.č.414;2,6*(2,2+2,95)*2-1,6</t>
  </si>
  <si>
    <t>m.č.415;2,6*(2,3+2,625)-1,6</t>
  </si>
  <si>
    <t>m.č.413;2,6*(2,2+2,58)*2-1,6</t>
  </si>
  <si>
    <t>m.č.412;2,6*(3,1+2,3)-1,6</t>
  </si>
  <si>
    <t>m.č.411;2,6*(2,6+2,3)-1,6</t>
  </si>
  <si>
    <t>m.č.410;2,6*(2,3+2,6)*2-1,6</t>
  </si>
  <si>
    <t>m.č.409;2,6*(2,2+2,48)*2-1,6</t>
  </si>
  <si>
    <t>m.č.408;2,6*(2,3+2,6)-1,6+3*6</t>
  </si>
  <si>
    <t>m.č.406;2,6*6+2,6*(2,465+2,3)-1,6+2,6*(2,3+0,98)-1,6</t>
  </si>
  <si>
    <t>m.č.405;2,6*(2,6+2,2)*2-1,6</t>
  </si>
  <si>
    <t>m.č.404;2,6*(2,43+2,2)*2-1,6</t>
  </si>
  <si>
    <t>m.č.403;2,6*(1,975+0,15+2,85+0,1+2,3)-1,6</t>
  </si>
  <si>
    <t>m.č.401;2,6*6-2*1,6*2,1</t>
  </si>
  <si>
    <t>m.č.431;2,6*(3,15+1,665+0,8+2,575)-1,4</t>
  </si>
  <si>
    <t>m.č.436;2,6*(3,15+0,6+0,15)</t>
  </si>
  <si>
    <t>m.č.439;2,6*(6)-1,8</t>
  </si>
  <si>
    <t>m.č.440;2,6*3,35*2</t>
  </si>
  <si>
    <t>m.č.441;2,6*(1,5+1,225)*2-1,4</t>
  </si>
  <si>
    <t>m.č.442;2,6*(3,125+1,85+1,325+1,5+1,8+3,335)-1,8</t>
  </si>
  <si>
    <t>m.č.443;2,6*3,35-1,8</t>
  </si>
  <si>
    <t>m.č.444;2,6*(2,6+1,3*2)-1,6-2*1,8</t>
  </si>
  <si>
    <t>m.č.445;2,6*(2,6+2,0)*2-1,6</t>
  </si>
  <si>
    <t>m.č.446;2,6*3,35-1,8</t>
  </si>
  <si>
    <t>m.č.447;2,6*3,35-1,8</t>
  </si>
  <si>
    <t>m.č.449;2,6*(2,6+2,0)*2-1,6</t>
  </si>
  <si>
    <t>m.č.448;2,6*(2,6+2*1,225)-1,6-2*1,8</t>
  </si>
  <si>
    <t>m.č.450;2,6*(5,05+3,325)-1,8</t>
  </si>
  <si>
    <t>m.č.451;2,6*(2,86+2,3)-1,6</t>
  </si>
  <si>
    <t>m.č.452;2,6*(2,2+2,76)*2-1,6</t>
  </si>
  <si>
    <t>m.č.453;2,6*(2,615+2,725)-1,6</t>
  </si>
  <si>
    <t>m.č.454;2,6*(2,625+2,915)*2-1,6</t>
  </si>
  <si>
    <t>m.č.455;2,6*(2,2+3,25)*2-1,6</t>
  </si>
  <si>
    <t>m.č.456;2,6*(2,3+3,325+2,3)-1,6</t>
  </si>
  <si>
    <t>m.č.457;2,6*(2,2+2,5)*2-1,8</t>
  </si>
  <si>
    <t>m.č.458;2,6*(2,86+2,3+2,3+2,6)-1,8-1,6</t>
  </si>
  <si>
    <t>m.č.459;2,6*(2,2+2,76)*2-1,6</t>
  </si>
  <si>
    <t>m.č.460;2,6*(2,2+2,45)*2-1,6</t>
  </si>
  <si>
    <t>m.č.461;2,6*(2,3+2,55)-1,6</t>
  </si>
  <si>
    <t>viz položka č. 26</t>
  </si>
  <si>
    <t>m.č.138;3,2*((0,9+1,4)*2*2+(1,9*2+1,15*2))-1,4*4-1,6</t>
  </si>
  <si>
    <t>m.č.138;2,0*((0,9+1,4)*2*2+(1,9*2+1,15*2))-1,4*4-1,6</t>
  </si>
  <si>
    <t>m.č.121;2*3,9-1,8</t>
  </si>
  <si>
    <t>m.č.124;2*(2+3,8+2)-1,6</t>
  </si>
  <si>
    <t>m.č.118;2*(2,4+2,4)-1,6</t>
  </si>
  <si>
    <t>m.č.116;2*(2*3+2,2)-1,6</t>
  </si>
  <si>
    <t>m.č.112;2*(2,3*2+3,1)-1,6</t>
  </si>
  <si>
    <t>m.č.111;2*(3,1+2,3)-1,6</t>
  </si>
  <si>
    <t>m.č.108,109;2*2*(2,2*2+2,9)-1,6*2</t>
  </si>
  <si>
    <t>m.č.156;2*(2,2+2,7)*2-1,6</t>
  </si>
  <si>
    <t>m.č.160;1,5*(2*3,1+1,85*4+4*1,4)-4*1,0-1,0</t>
  </si>
  <si>
    <t>m.č.161;1,5*(1,5+2,1)*2-1,0</t>
  </si>
  <si>
    <t>m.č.152;2*(2,2+3,15)*2-1,6</t>
  </si>
  <si>
    <t>m.č.151;2*(2,2+3,15)*2-1,6</t>
  </si>
  <si>
    <t>m.č.148;2*(2,7+2,2)*2-1,6</t>
  </si>
  <si>
    <t>m.č.158;1,5*2*(2,5+0,975)-1,0</t>
  </si>
  <si>
    <t>m.č.157;1,5*2*(2,3+0,975)-1,0+3,2*(2,3+0,975)-1,0</t>
  </si>
  <si>
    <t>m.č.159;3,2*(0,925+2,08)*2-1,4</t>
  </si>
  <si>
    <t>m.č.222;2,0*(2,97+2,0)*2-1,6</t>
  </si>
  <si>
    <t>m.č.226;2,0*(3,8+2,0)*2-1,6</t>
  </si>
  <si>
    <t>m.č.219;2,0*(1,98+2,2)*2-1,6</t>
  </si>
  <si>
    <t>m.č.217;2,0*(2,68+2,2)*2-1,6</t>
  </si>
  <si>
    <t>m.č.214;2,0*(2,2+2,95)*2-1,6</t>
  </si>
  <si>
    <t>m.č.213;2,0*(2,2+2,58)*2-1,6</t>
  </si>
  <si>
    <t>m.č.210;2,0*(2,3+2,0)*2-1,6</t>
  </si>
  <si>
    <t>m.č.209;2,0*(2,2+2,48)*2-1,6</t>
  </si>
  <si>
    <t>m.č.205;2,0*(2,0+2,2)*2-1,6</t>
  </si>
  <si>
    <t>m.č.204;2,0*(2,43+2,2)*2-1,6</t>
  </si>
  <si>
    <t>m.č.240;2,0*3,35*2</t>
  </si>
  <si>
    <t>m.č.245;2,0*(2,0+2,0)*2-1,6</t>
  </si>
  <si>
    <t>m.č.249;2,0*(2,0+2,0)*2-1,6</t>
  </si>
  <si>
    <t>m.č.254;2,0*(2,625+2,915)*2-1,6</t>
  </si>
  <si>
    <t>m.č.255;2,0*(2,2+3,25)*2-1,6</t>
  </si>
  <si>
    <t>m.č.259;2,0*(2,2+2,76)*2-1,6</t>
  </si>
  <si>
    <t>m.č.260;2,0*(2,2+2,45)*2-1,6</t>
  </si>
  <si>
    <t>m.č.237;1,5*(1,565+0,875)-1,5*(0,7)*2</t>
  </si>
  <si>
    <t>m.č.238;1,5*(1,565+0,825*2)-1,5*0,7</t>
  </si>
  <si>
    <t>m.č.241;1,5*(1,5+1,225)*2-0,6</t>
  </si>
  <si>
    <t>položka  98*1,1</t>
  </si>
  <si>
    <t>D+M hliníkové stěny prosklené  5500/2600 - sestava dle specifikace 11/D</t>
  </si>
  <si>
    <t>D+M dveře vnitřní 1100/1970 dle specifikace 14/D, povrch CPL</t>
  </si>
  <si>
    <t>D+M hliníkové stěny prosklené  4800/1600 - EI 30 min, pevné zasklení - sestava dle specifikace 39/D</t>
  </si>
  <si>
    <t>774 11 27</t>
  </si>
  <si>
    <t>D+M hliníkové stěny prosklené  4800/1600 - EI 30 min, včetně dveří - sestava dle specifikace 37/D</t>
  </si>
  <si>
    <t>D+M hliníkové stěny prosklené  4800/1600 - EI 30 min, včetně dveří - sestava dle specifikace 38/D</t>
  </si>
  <si>
    <t>vstupní schodiště</t>
  </si>
  <si>
    <t>1,8*0,6*1,5*2</t>
  </si>
  <si>
    <t>základy pro rampu invalida</t>
  </si>
  <si>
    <t>0,6*0,6*1,2*6</t>
  </si>
  <si>
    <t>435122112</t>
  </si>
  <si>
    <t>D+M schodišťových stupňů betonových, vibrolisovaných, typových s  protis´kluznou úpravou</t>
  </si>
  <si>
    <t>342272612</t>
  </si>
  <si>
    <t>Stěny výplňové tl 200 mm z pórobetonových přesných hladkých tvárnic Ytong hmotnosti 500 kg/m3</t>
  </si>
  <si>
    <t>poprsní zdivo v m.č.103;4,8*0,9*3-(3*0,9*1,6)</t>
  </si>
  <si>
    <t>962052211</t>
  </si>
  <si>
    <t>Bourání zdiva nadzákladového ze ŽB přes 1 m3</t>
  </si>
  <si>
    <t>2,9*0,3*2,1</t>
  </si>
  <si>
    <t>59036035</t>
  </si>
  <si>
    <t>102,59 m2</t>
  </si>
  <si>
    <t>Deska  minerální, EI 30 min, 625x625x15 mm</t>
  </si>
  <si>
    <t>m.č. 101-103 -102,59 *1,05</t>
  </si>
  <si>
    <t>7671113</t>
  </si>
  <si>
    <t>D+M zábradlí hlavního schodiště</t>
  </si>
  <si>
    <t>ocel TR 45/2,5 a TR 30/2,5, žárový pozink</t>
  </si>
  <si>
    <t>7671114</t>
  </si>
  <si>
    <t>výkres.č. PP-D/101-02-701</t>
  </si>
  <si>
    <t>D+M rampy pro invalidy vč. zábradlí - hlavní vstup</t>
  </si>
  <si>
    <t>767920830</t>
  </si>
  <si>
    <t>D+M přístřešku zásobování</t>
  </si>
  <si>
    <t>výkres.č. PP-D/101-02-705</t>
  </si>
  <si>
    <t>767920831</t>
  </si>
  <si>
    <t>D+M  venkovní zábradlí</t>
  </si>
  <si>
    <t>767920833</t>
  </si>
  <si>
    <t>výkres.č. PP-D/101-02-706</t>
  </si>
  <si>
    <t>D+M zábradlí terénního schodiště</t>
  </si>
  <si>
    <t>výkres.č. PP-D/101-02-708</t>
  </si>
  <si>
    <t>SO  101  ZTI (zařizovací předměty)</t>
  </si>
  <si>
    <t>Vytápění - otopná tělesa a strojovna v 1.PP</t>
  </si>
  <si>
    <t>SO 102   KOMUNIKACE (rekonstrukce parkoviště)</t>
  </si>
  <si>
    <t>SO 103   KANALIZACE AREÁLOVÁ (bez retencí)</t>
  </si>
  <si>
    <t>Cena celk. bez DPH</t>
  </si>
  <si>
    <t>Cena celk. s DPH 15%</t>
  </si>
  <si>
    <t>Cena celk. s DPH 21%</t>
  </si>
  <si>
    <t>Cena bez DPH</t>
  </si>
  <si>
    <t>bez DPH</t>
  </si>
  <si>
    <t>s DPH 15%</t>
  </si>
  <si>
    <t>s DPH 21%</t>
  </si>
  <si>
    <t>Cena s DPH 15%</t>
  </si>
  <si>
    <t>Cena s DPH 21%</t>
  </si>
  <si>
    <t>celkem (Kč) bez DPH</t>
  </si>
  <si>
    <t>celkem (Kč) s DPH 15%</t>
  </si>
  <si>
    <t>celkem (Kč) s DPH 21%</t>
  </si>
  <si>
    <t>Rozpočet</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</si>
</sst>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
    <numFmt numFmtId="169" formatCode="0.000"/>
    <numFmt numFmtId="170" formatCode="#,##0.00\ &quot;Kč&quot;"/>
    <numFmt numFmtId="171" formatCode="#,##0\ &quot;Kč&quot;"/>
    <numFmt numFmtId="172" formatCode="_(#,##0&quot;.&quot;_);;;_(@_)"/>
    <numFmt numFmtId="173" formatCode="_(#,##0.0??;\-\ #,##0.0??;&quot;–&quot;???;_(@_)"/>
    <numFmt numFmtId="174" formatCode="_(#,##0.00_);[Red]\-\ #,##0.00_);&quot;–&quot;??;_(@_)"/>
    <numFmt numFmtId="175" formatCode="_(#,##0_);[Red]\-\ #,##0_);&quot;–&quot;??;_(@_)"/>
    <numFmt numFmtId="176" formatCode="_(#,##0.00000_);[Red]\-\ #,##0.00000_);&quot;–&quot;??;_(@_)"/>
    <numFmt numFmtId="177" formatCode="_(#,##0.0_);[Red]\-\ #,##0.0_);&quot;–&quot;??;_(@_)"/>
    <numFmt numFmtId="178" formatCode="#,##0.00_ ;[Red]\-#,##0.00\ "/>
    <numFmt numFmtId="179" formatCode="0.00000"/>
    <numFmt numFmtId="180" formatCode="#,##0.00;\-#,##0.00"/>
    <numFmt numFmtId="181" formatCode="0.00%;\-0.00%"/>
    <numFmt numFmtId="182" formatCode="dd\.mm\.yyyy"/>
    <numFmt numFmtId="183" formatCode="#,##0.00000;\-#,##0.00000"/>
    <numFmt numFmtId="184" formatCode="#,##0.000;\-#,##0.000"/>
    <numFmt numFmtId="185" formatCode="#,##0.000_ ;\-#,##0.000\ "/>
    <numFmt numFmtId="186" formatCode="[$¥€-2]\ #\ ##,000_);[Red]\([$€-2]\ #\ ##,000\)"/>
    <numFmt numFmtId="187" formatCode="#,##0.0_);\(#,##0.0\)"/>
    <numFmt numFmtId="188" formatCode="_(* #,##0.0000_);_(* \(#,##0.0000\);_(* &quot;-&quot;??_);_(@_)"/>
    <numFmt numFmtId="189" formatCode="d/m/yy\ h:mm"/>
    <numFmt numFmtId="190" formatCode="#,##0&quot; F&quot;_);\(#,##0&quot; F&quot;\)"/>
    <numFmt numFmtId="191" formatCode="_(&quot;$&quot;* #,##0.00_);_(&quot;$&quot;* \(#,##0.00\);_(&quot;$&quot;* &quot;-&quot;??_);_(@_)"/>
    <numFmt numFmtId="192" formatCode="0.0%;\(0.0%\)"/>
    <numFmt numFmtId="193" formatCode="_-* #,##0_-;\-* #,##0_-;_-* &quot;-&quot;_-;_-@_-"/>
    <numFmt numFmtId="194" formatCode="_-* #,##0.00_-;\-* #,##0.00_-;_-* &quot;-&quot;??_-;_-@_-"/>
    <numFmt numFmtId="195" formatCode="_-* #,##0\ _F_-;\-* #,##0\ _F_-;_-* &quot;-&quot;\ _F_-;_-@_-"/>
    <numFmt numFmtId="196" formatCode="_-* #,##0.00\ _F_-;\-* #,##0.00\ _F_-;_-* &quot;-&quot;??\ _F_-;_-@_-"/>
    <numFmt numFmtId="197" formatCode="_ * #,##0_ ;_ * \-#,##0_ ;_ * &quot;-&quot;_ ;_ @_ "/>
    <numFmt numFmtId="198" formatCode="_ * #,##0.00_ ;_ * \-#,##0.00_ ;_ * &quot;-&quot;??_ ;_ @_ "/>
    <numFmt numFmtId="199" formatCode="#,##0.00&quot; F&quot;_);\(#,##0.00&quot; F&quot;\)"/>
    <numFmt numFmtId="200" formatCode="#,##0&quot; $&quot;;\-#,##0&quot; $&quot;"/>
    <numFmt numFmtId="201" formatCode="#,##0&quot; F&quot;_);[Red]\(#,##0&quot; F&quot;\)"/>
    <numFmt numFmtId="202" formatCode="#,##0.00&quot; F&quot;_);[Red]\(#,##0.00&quot; F&quot;\)"/>
    <numFmt numFmtId="203" formatCode="#,##0_ ;[Red]\-#,##0\ "/>
    <numFmt numFmtId="204" formatCode="0.00_)"/>
    <numFmt numFmtId="205" formatCode="0%;\(0%\)"/>
    <numFmt numFmtId="206" formatCode="#,##0\ &quot;F&quot;;[Red]\-#,##0\ &quot;F&quot;"/>
    <numFmt numFmtId="207" formatCode="_ &quot;Fr.&quot;\ * #,##0_ ;_ &quot;Fr.&quot;\ * \-#,##0_ ;_ &quot;Fr.&quot;\ * &quot;-&quot;_ ;_ @_ "/>
    <numFmt numFmtId="208" formatCode="_ &quot;Fr.&quot;\ * #,##0.00_ ;_ &quot;Fr.&quot;\ * \-#,##0.00_ ;_ &quot;Fr.&quot;\ * &quot;-&quot;??_ ;_ @_ "/>
    <numFmt numFmtId="209" formatCode="#,##0.00\ _K_č"/>
    <numFmt numFmtId="210" formatCode="#,##0.000"/>
    <numFmt numFmtId="211" formatCode="#,##0.00\ [$CZK]"/>
    <numFmt numFmtId="212" formatCode="#,##0.00000"/>
    <numFmt numFmtId="213" formatCode="0.0000"/>
  </numFmts>
  <fonts count="143">
    <font>
      <sz val="10"/>
      <name val="Arial CE"/>
      <family val="0"/>
    </font>
    <font>
      <b/>
      <sz val="15"/>
      <color indexed="10"/>
      <name val="Arial"/>
      <family val="2"/>
    </font>
    <font>
      <b/>
      <sz val="8"/>
      <color indexed="10"/>
      <name val="Arial"/>
      <family val="2"/>
    </font>
    <font>
      <b/>
      <sz val="8"/>
      <color indexed="8"/>
      <name val="Arial"/>
      <family val="2"/>
    </font>
    <font>
      <sz val="8"/>
      <color indexed="8"/>
      <name val="Arial Narrow"/>
      <family val="2"/>
    </font>
    <font>
      <sz val="8"/>
      <color indexed="8"/>
      <name val="Arial"/>
      <family val="2"/>
    </font>
    <font>
      <sz val="8"/>
      <color indexed="12"/>
      <name val="Arial Narrow"/>
      <family val="2"/>
    </font>
    <font>
      <u val="single"/>
      <sz val="10"/>
      <color indexed="12"/>
      <name val="Arial CE"/>
      <family val="0"/>
    </font>
    <font>
      <u val="single"/>
      <sz val="10"/>
      <color indexed="36"/>
      <name val="Arial CE"/>
      <family val="0"/>
    </font>
    <font>
      <b/>
      <sz val="10"/>
      <name val="Arial CE"/>
      <family val="2"/>
    </font>
    <font>
      <b/>
      <sz val="12"/>
      <name val="Arial CE"/>
      <family val="2"/>
    </font>
    <font>
      <sz val="10"/>
      <name val="Arial"/>
      <family val="2"/>
    </font>
    <font>
      <b/>
      <sz val="14"/>
      <name val="Arial CE"/>
      <family val="0"/>
    </font>
    <font>
      <b/>
      <sz val="11"/>
      <name val="Arial CE"/>
      <family val="0"/>
    </font>
    <font>
      <sz val="9"/>
      <name val="Arial CE"/>
      <family val="2"/>
    </font>
    <font>
      <i/>
      <sz val="8"/>
      <name val="Arial CE"/>
      <family val="2"/>
    </font>
    <font>
      <i/>
      <sz val="9"/>
      <name val="Arial CE"/>
      <family val="0"/>
    </font>
    <font>
      <b/>
      <sz val="10"/>
      <name val="Arial"/>
      <family val="2"/>
    </font>
    <font>
      <b/>
      <sz val="12"/>
      <name val="Arial"/>
      <family val="2"/>
    </font>
    <font>
      <b/>
      <sz val="11"/>
      <color indexed="12"/>
      <name val="Arial Narrow"/>
      <family val="2"/>
    </font>
    <font>
      <sz val="11"/>
      <color indexed="8"/>
      <name val="Calibri"/>
      <family val="2"/>
    </font>
    <font>
      <b/>
      <i/>
      <sz val="10"/>
      <name val="Arial"/>
      <family val="2"/>
    </font>
    <font>
      <u val="single"/>
      <sz val="10"/>
      <color indexed="12"/>
      <name val="Arial"/>
      <family val="2"/>
    </font>
    <font>
      <b/>
      <sz val="10"/>
      <color indexed="8"/>
      <name val="Arial CE"/>
      <family val="2"/>
    </font>
    <font>
      <b/>
      <i/>
      <sz val="18"/>
      <name val="Times New Roman CE"/>
      <family val="1"/>
    </font>
    <font>
      <sz val="11"/>
      <name val="Times New Roman CE"/>
      <family val="0"/>
    </font>
    <font>
      <b/>
      <sz val="11"/>
      <color indexed="8"/>
      <name val="Arial Narrow"/>
      <family val="2"/>
    </font>
    <font>
      <b/>
      <sz val="11"/>
      <color indexed="8"/>
      <name val="Arial"/>
      <family val="2"/>
    </font>
    <font>
      <sz val="8"/>
      <name val="Arial Narrow"/>
      <family val="2"/>
    </font>
    <font>
      <b/>
      <sz val="12"/>
      <color indexed="25"/>
      <name val="Arial"/>
      <family val="2"/>
    </font>
    <font>
      <b/>
      <sz val="11"/>
      <name val="Arial"/>
      <family val="2"/>
    </font>
    <font>
      <sz val="9"/>
      <name val="Arial"/>
      <family val="2"/>
    </font>
    <font>
      <b/>
      <sz val="9"/>
      <color indexed="18"/>
      <name val="Arial"/>
      <family val="2"/>
    </font>
    <font>
      <b/>
      <sz val="10"/>
      <color indexed="61"/>
      <name val="Arial"/>
      <family val="2"/>
    </font>
    <font>
      <sz val="10"/>
      <name val="Helv"/>
      <family val="0"/>
    </font>
    <font>
      <i/>
      <sz val="9"/>
      <name val="Arial"/>
      <family val="2"/>
    </font>
    <font>
      <b/>
      <i/>
      <sz val="9"/>
      <name val="Arial"/>
      <family val="2"/>
    </font>
    <font>
      <sz val="9"/>
      <color indexed="12"/>
      <name val="Arial"/>
      <family val="2"/>
    </font>
    <font>
      <sz val="8"/>
      <color indexed="17"/>
      <name val="Courier New"/>
      <family val="3"/>
    </font>
    <font>
      <sz val="9"/>
      <color indexed="8"/>
      <name val="Arial"/>
      <family val="2"/>
    </font>
    <font>
      <sz val="9"/>
      <color indexed="8"/>
      <name val="Arial CE"/>
      <family val="0"/>
    </font>
    <font>
      <b/>
      <sz val="12"/>
      <color indexed="8"/>
      <name val="Arial Narrow"/>
      <family val="2"/>
    </font>
    <font>
      <sz val="8"/>
      <name val="Trebuchet MS"/>
      <family val="2"/>
    </font>
    <font>
      <sz val="8"/>
      <name val="Arial CE"/>
      <family val="0"/>
    </font>
    <font>
      <sz val="8"/>
      <name val="Arial"/>
      <family val="2"/>
    </font>
    <font>
      <sz val="8"/>
      <name val="Times New Roman"/>
      <family val="1"/>
    </font>
    <font>
      <sz val="10"/>
      <name val="MS Serif"/>
      <family val="1"/>
    </font>
    <font>
      <sz val="10"/>
      <name val="Courier"/>
      <family val="1"/>
    </font>
    <font>
      <sz val="8"/>
      <name val="MS Sans Serif"/>
      <family val="2"/>
    </font>
    <font>
      <sz val="10"/>
      <color indexed="8"/>
      <name val="Arial"/>
      <family val="2"/>
    </font>
    <font>
      <sz val="10"/>
      <color indexed="16"/>
      <name val="MS Serif"/>
      <family val="1"/>
    </font>
    <font>
      <b/>
      <sz val="24"/>
      <name val="Tahoma"/>
      <family val="2"/>
    </font>
    <font>
      <u val="single"/>
      <sz val="8"/>
      <color indexed="12"/>
      <name val="Times New Roman"/>
      <family val="1"/>
    </font>
    <font>
      <sz val="12"/>
      <name val="Helv"/>
      <family val="0"/>
    </font>
    <font>
      <sz val="8"/>
      <color indexed="8"/>
      <name val=".HelveticaLightTTEE"/>
      <family val="2"/>
    </font>
    <font>
      <sz val="12"/>
      <color indexed="9"/>
      <name val="Helv"/>
      <family val="0"/>
    </font>
    <font>
      <sz val="12"/>
      <name val="Times New Roman CE"/>
      <family val="0"/>
    </font>
    <font>
      <sz val="11"/>
      <name val="Arial"/>
      <family val="2"/>
    </font>
    <font>
      <sz val="7"/>
      <name val="Small Fonts"/>
      <family val="2"/>
    </font>
    <font>
      <b/>
      <i/>
      <sz val="16"/>
      <name val="Helv"/>
      <family val="0"/>
    </font>
    <font>
      <sz val="10"/>
      <name val="Times New Roman"/>
      <family val="1"/>
    </font>
    <font>
      <sz val="12"/>
      <name val="Arial CE"/>
      <family val="0"/>
    </font>
    <font>
      <sz val="14"/>
      <name val="Tahoma"/>
      <family val="2"/>
    </font>
    <font>
      <sz val="10"/>
      <name val="MS Sans Serif"/>
      <family val="2"/>
    </font>
    <font>
      <sz val="8"/>
      <name val="Helv"/>
      <family val="0"/>
    </font>
    <font>
      <b/>
      <sz val="8"/>
      <color indexed="8"/>
      <name val="Helv"/>
      <family val="0"/>
    </font>
    <font>
      <b/>
      <sz val="9"/>
      <name val="Lucida Console"/>
      <family val="3"/>
    </font>
    <font>
      <b/>
      <u val="single"/>
      <sz val="11"/>
      <name val="Arial CE"/>
      <family val="2"/>
    </font>
    <font>
      <b/>
      <u val="single"/>
      <sz val="14"/>
      <name val="Arial CE"/>
      <family val="2"/>
    </font>
    <font>
      <b/>
      <u val="single"/>
      <sz val="10"/>
      <name val="Arial"/>
      <family val="2"/>
    </font>
    <font>
      <sz val="10"/>
      <color indexed="10"/>
      <name val="Arial CE"/>
      <family val="2"/>
    </font>
    <font>
      <b/>
      <u val="single"/>
      <sz val="16"/>
      <name val="Arial CE"/>
      <family val="2"/>
    </font>
    <font>
      <b/>
      <sz val="8"/>
      <color indexed="22"/>
      <name val="Arial Narrow"/>
      <family val="2"/>
    </font>
    <font>
      <b/>
      <sz val="12"/>
      <name val="Arial Narrow"/>
      <family val="2"/>
    </font>
    <font>
      <sz val="8"/>
      <color indexed="40"/>
      <name val="Arial Narrow"/>
      <family val="2"/>
    </font>
    <font>
      <sz val="8"/>
      <color indexed="10"/>
      <name val="Arial Narrow"/>
      <family val="2"/>
    </font>
    <font>
      <b/>
      <sz val="8"/>
      <color indexed="17"/>
      <name val="Courier New"/>
      <family val="3"/>
    </font>
    <font>
      <b/>
      <u val="single"/>
      <sz val="8"/>
      <color indexed="17"/>
      <name val="Courier New"/>
      <family val="3"/>
    </font>
    <font>
      <sz val="11"/>
      <color indexed="9"/>
      <name val="Calibri"/>
      <family val="2"/>
    </font>
    <font>
      <b/>
      <sz val="11"/>
      <color indexed="8"/>
      <name val="Calibri"/>
      <family val="2"/>
    </font>
    <font>
      <u val="single"/>
      <sz val="8"/>
      <color indexed="30"/>
      <name val="Trebuchet MS"/>
      <family val="2"/>
    </font>
    <font>
      <sz val="11"/>
      <color indexed="20"/>
      <name val="Calibri"/>
      <family val="2"/>
    </font>
    <font>
      <b/>
      <sz val="11"/>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8"/>
      <color indexed="54"/>
      <name val="Calibri Light"/>
      <family val="2"/>
    </font>
    <font>
      <sz val="11"/>
      <color indexed="60"/>
      <name val="Calibri"/>
      <family val="2"/>
    </font>
    <font>
      <sz val="10"/>
      <color indexed="8"/>
      <name val="Arial CE"/>
      <family val="2"/>
    </font>
    <font>
      <sz val="12"/>
      <color indexed="8"/>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Arial"/>
      <family val="2"/>
    </font>
    <font>
      <b/>
      <sz val="15"/>
      <color indexed="8"/>
      <name val="Arial"/>
      <family val="2"/>
    </font>
    <font>
      <b/>
      <sz val="12"/>
      <name val="Calibri"/>
      <family val="2"/>
    </font>
    <font>
      <b/>
      <sz val="10"/>
      <color indexed="10"/>
      <name val="Arial CE"/>
      <family val="0"/>
    </font>
    <font>
      <sz val="8"/>
      <color indexed="10"/>
      <name val="Courier New"/>
      <family val="3"/>
    </font>
    <font>
      <strike/>
      <sz val="9"/>
      <color indexed="10"/>
      <name val="Arial"/>
      <family val="2"/>
    </font>
    <font>
      <strike/>
      <sz val="9"/>
      <color indexed="10"/>
      <name val="Arial CE"/>
      <family val="0"/>
    </font>
    <font>
      <sz val="11"/>
      <color theme="1"/>
      <name val="Calibri"/>
      <family val="2"/>
    </font>
    <font>
      <sz val="11"/>
      <color theme="0"/>
      <name val="Calibri"/>
      <family val="2"/>
    </font>
    <font>
      <b/>
      <sz val="11"/>
      <color theme="1"/>
      <name val="Calibri"/>
      <family val="2"/>
    </font>
    <font>
      <u val="single"/>
      <sz val="8"/>
      <color theme="10"/>
      <name val="Trebuchet MS"/>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8"/>
      <color theme="3"/>
      <name val="Calibri Light"/>
      <family val="2"/>
    </font>
    <font>
      <sz val="11"/>
      <color rgb="FF9C6500"/>
      <name val="Calibri"/>
      <family val="2"/>
    </font>
    <font>
      <sz val="10"/>
      <color theme="1"/>
      <name val="Arial CE"/>
      <family val="2"/>
    </font>
    <font>
      <sz val="12"/>
      <color theme="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00B0F0"/>
      <name val="Arial Narrow"/>
      <family val="2"/>
    </font>
    <font>
      <b/>
      <sz val="10"/>
      <color theme="1"/>
      <name val="Arial"/>
      <family val="2"/>
    </font>
    <font>
      <sz val="10"/>
      <color theme="1"/>
      <name val="Arial"/>
      <family val="2"/>
    </font>
    <font>
      <b/>
      <sz val="15"/>
      <color theme="1"/>
      <name val="Arial"/>
      <family val="2"/>
    </font>
    <font>
      <sz val="8"/>
      <color rgb="FFFF0000"/>
      <name val="Arial Narrow"/>
      <family val="2"/>
    </font>
    <font>
      <b/>
      <sz val="9"/>
      <color rgb="FF000099"/>
      <name val="Arial"/>
      <family val="2"/>
    </font>
    <font>
      <b/>
      <sz val="11"/>
      <color rgb="FF0000FF"/>
      <name val="Arial Narrow"/>
      <family val="2"/>
    </font>
    <font>
      <sz val="10"/>
      <color rgb="FFFF0000"/>
      <name val="Arial CE"/>
      <family val="0"/>
    </font>
    <font>
      <sz val="9"/>
      <color theme="1"/>
      <name val="Arial"/>
      <family val="2"/>
    </font>
    <font>
      <b/>
      <sz val="10"/>
      <color rgb="FFFF0000"/>
      <name val="Arial CE"/>
      <family val="0"/>
    </font>
    <font>
      <sz val="8"/>
      <color rgb="FFFF0000"/>
      <name val="Courier New"/>
      <family val="3"/>
    </font>
    <font>
      <b/>
      <sz val="8"/>
      <color rgb="FF008000"/>
      <name val="Courier New"/>
      <family val="3"/>
    </font>
    <font>
      <sz val="8"/>
      <color rgb="FF008000"/>
      <name val="Courier New"/>
      <family val="3"/>
    </font>
    <font>
      <sz val="9"/>
      <color theme="1"/>
      <name val="Arial CE"/>
      <family val="0"/>
    </font>
    <font>
      <strike/>
      <sz val="9"/>
      <color rgb="FFFF0000"/>
      <name val="Arial"/>
      <family val="2"/>
    </font>
    <font>
      <strike/>
      <sz val="9"/>
      <color rgb="FFFF0000"/>
      <name val="Arial CE"/>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7CE"/>
        <bgColor indexed="64"/>
      </patternFill>
    </fill>
    <fill>
      <patternFill patternType="solid">
        <fgColor rgb="FFFF0000"/>
        <bgColor indexed="64"/>
      </patternFill>
    </fill>
    <fill>
      <patternFill patternType="solid">
        <fgColor indexed="26"/>
        <bgColor indexed="64"/>
      </patternFill>
    </fill>
    <fill>
      <patternFill patternType="solid">
        <fgColor indexed="15"/>
        <bgColor indexed="64"/>
      </patternFill>
    </fill>
    <fill>
      <patternFill patternType="solid">
        <fgColor rgb="FFA5A5A5"/>
        <bgColor indexed="64"/>
      </patternFill>
    </fill>
    <fill>
      <patternFill patternType="solid">
        <fgColor indexed="12"/>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C6EFCE"/>
        <bgColor indexed="64"/>
      </patternFill>
    </fill>
    <fill>
      <patternFill patternType="lightGray">
        <fgColor indexed="22"/>
      </patternFill>
    </fill>
    <fill>
      <patternFill patternType="lightGray">
        <fgColor indexed="22"/>
        <bgColor indexed="9"/>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rgb="FFD6E1EE"/>
        <bgColor indexed="64"/>
      </patternFill>
    </fill>
    <fill>
      <patternFill patternType="solid">
        <fgColor rgb="FFDBDBDB"/>
        <bgColor indexed="64"/>
      </patternFill>
    </fill>
    <fill>
      <patternFill patternType="solid">
        <fgColor theme="0"/>
        <bgColor indexed="64"/>
      </patternFill>
    </fill>
    <fill>
      <patternFill patternType="solid">
        <fgColor rgb="FF92D050"/>
        <bgColor indexed="64"/>
      </patternFill>
    </fill>
    <fill>
      <patternFill patternType="solid">
        <fgColor indexed="41"/>
        <bgColor indexed="64"/>
      </patternFill>
    </fill>
  </fills>
  <borders count="76">
    <border>
      <left/>
      <right/>
      <top/>
      <bottom/>
      <diagonal/>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22"/>
      </left>
      <right>
        <color indexed="63"/>
      </right>
      <top>
        <color indexed="63"/>
      </top>
      <bottom style="thin">
        <color indexed="22"/>
      </bottom>
    </border>
    <border>
      <left style="thin">
        <color indexed="22"/>
      </left>
      <right>
        <color indexed="63"/>
      </right>
      <top style="thin"/>
      <bottom>
        <color indexed="63"/>
      </bottom>
    </border>
    <border>
      <left style="thin"/>
      <right style="thin">
        <color indexed="22"/>
      </right>
      <top style="thin">
        <color indexed="22"/>
      </top>
      <bottom style="thin"/>
    </border>
    <border>
      <left style="thin">
        <color indexed="22"/>
      </left>
      <right>
        <color indexed="63"/>
      </right>
      <top style="thin">
        <color indexed="22"/>
      </top>
      <bottom style="thin"/>
    </border>
    <border>
      <left style="thin">
        <color indexed="22"/>
      </left>
      <right style="thin">
        <color indexed="22"/>
      </right>
      <top style="thin">
        <color indexed="22"/>
      </top>
      <bottom style="thin"/>
    </border>
    <border>
      <left>
        <color indexed="63"/>
      </left>
      <right>
        <color indexed="63"/>
      </right>
      <top>
        <color indexed="63"/>
      </top>
      <bottom style="medium"/>
    </border>
    <border>
      <left>
        <color indexed="63"/>
      </left>
      <right>
        <color indexed="63"/>
      </right>
      <top style="medium"/>
      <bottom>
        <color indexed="63"/>
      </bottom>
    </border>
    <border>
      <left style="hair"/>
      <right style="hair"/>
      <top style="hair"/>
      <bottom style="hair"/>
    </border>
    <border>
      <left style="hair"/>
      <right style="hair"/>
      <top>
        <color indexed="63"/>
      </top>
      <bottom style="hair"/>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right style="thin">
        <color indexed="8"/>
      </right>
      <top style="thin">
        <color indexed="8"/>
      </top>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thin"/>
    </border>
    <border>
      <left style="thin"/>
      <right style="hair"/>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right/>
      <top style="thin"/>
      <bottom/>
    </border>
    <border>
      <left/>
      <right style="thin"/>
      <top style="thin"/>
      <bottom/>
    </border>
    <border>
      <left style="thin">
        <color indexed="23"/>
      </left>
      <right style="thin">
        <color indexed="23"/>
      </right>
      <top style="thin"/>
      <bottom/>
    </border>
    <border>
      <left style="thin">
        <color indexed="23"/>
      </left>
      <right style="thin"/>
      <top style="thin"/>
      <bottom/>
    </border>
    <border>
      <left style="thin">
        <color indexed="23"/>
      </left>
      <right style="thin">
        <color indexed="23"/>
      </right>
      <top style="thin"/>
      <bottom style="thin"/>
    </border>
    <border>
      <left style="thin">
        <color indexed="23"/>
      </left>
      <right style="thin"/>
      <top style="thin"/>
      <bottom style="thin"/>
    </border>
    <border>
      <left style="medium"/>
      <right style="medium"/>
      <top style="medium"/>
      <bottom style="medium"/>
    </border>
    <border>
      <left style="hair">
        <color indexed="55"/>
      </left>
      <right style="hair">
        <color indexed="55"/>
      </right>
      <top style="hair">
        <color indexed="55"/>
      </top>
      <bottom style="hair">
        <color indexed="55"/>
      </bottom>
    </border>
    <border>
      <left style="thin"/>
      <right style="thin">
        <color indexed="23"/>
      </right>
      <top style="thin"/>
      <bottom/>
    </border>
    <border>
      <left>
        <color indexed="63"/>
      </left>
      <right style="thin"/>
      <top style="thin">
        <color indexed="22"/>
      </top>
      <bottom style="thin"/>
    </border>
    <border>
      <left style="thin">
        <color theme="6"/>
      </left>
      <right style="thin">
        <color theme="6"/>
      </right>
      <top style="thin">
        <color indexed="22"/>
      </top>
      <bottom style="thin"/>
    </border>
    <border>
      <left style="thin"/>
      <right style="thin">
        <color indexed="23"/>
      </right>
      <top style="thin"/>
      <bottom style="thin"/>
    </border>
    <border>
      <left style="medium"/>
      <right style="thin"/>
      <top style="medium"/>
      <bottom style="thin"/>
    </border>
    <border>
      <left style="medium"/>
      <right>
        <color indexed="63"/>
      </right>
      <top style="medium"/>
      <bottom style="medium"/>
    </border>
    <border>
      <left>
        <color indexed="63"/>
      </left>
      <right style="medium"/>
      <top style="medium"/>
      <bottom style="medium"/>
    </border>
    <border>
      <left style="thin"/>
      <right style="thin">
        <color indexed="22"/>
      </right>
      <top style="thin"/>
      <bottom>
        <color indexed="63"/>
      </bottom>
    </border>
    <border>
      <left style="thin"/>
      <right style="thin">
        <color indexed="22"/>
      </right>
      <top>
        <color indexed="63"/>
      </top>
      <bottom style="thin">
        <color indexed="22"/>
      </bottom>
    </border>
    <border>
      <left style="thin">
        <color indexed="22"/>
      </left>
      <right style="thin">
        <color indexed="22"/>
      </right>
      <top style="thin"/>
      <bottom>
        <color indexed="63"/>
      </bottom>
    </border>
    <border>
      <left style="thin">
        <color indexed="22"/>
      </left>
      <right style="thin">
        <color indexed="22"/>
      </right>
      <top>
        <color indexed="63"/>
      </top>
      <bottom style="thin">
        <color indexed="22"/>
      </bottom>
    </border>
    <border>
      <left style="thin">
        <color theme="6"/>
      </left>
      <right style="thin">
        <color theme="6"/>
      </right>
      <top style="thin"/>
      <bottom>
        <color indexed="63"/>
      </bottom>
    </border>
    <border>
      <left style="thin">
        <color theme="6"/>
      </left>
      <right style="thin">
        <color theme="6"/>
      </right>
      <top>
        <color indexed="63"/>
      </top>
      <bottom style="thin">
        <color indexed="22"/>
      </bottom>
    </border>
    <border>
      <left>
        <color indexed="63"/>
      </left>
      <right style="thin"/>
      <top>
        <color indexed="63"/>
      </top>
      <bottom style="thin">
        <color indexed="22"/>
      </bottom>
    </border>
    <border>
      <left style="thin">
        <color theme="6"/>
      </left>
      <right style="thin"/>
      <top style="thin"/>
      <bottom>
        <color indexed="63"/>
      </bottom>
    </border>
    <border>
      <left style="thin">
        <color theme="6"/>
      </left>
      <right style="thin"/>
      <top>
        <color indexed="63"/>
      </top>
      <bottom style="thin">
        <color indexed="22"/>
      </bottom>
    </border>
    <border>
      <left style="thin">
        <color indexed="22"/>
      </left>
      <right style="thin">
        <color theme="6"/>
      </right>
      <top style="thin"/>
      <bottom>
        <color indexed="63"/>
      </bottom>
    </border>
    <border>
      <left style="thin">
        <color indexed="22"/>
      </left>
      <right style="thin">
        <color theme="6"/>
      </right>
      <top>
        <color indexed="63"/>
      </top>
      <bottom style="thin">
        <color indexed="22"/>
      </bottom>
    </border>
  </borders>
  <cellStyleXfs count="3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34"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4"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45" fillId="0" borderId="0">
      <alignment horizontal="center" wrapText="1"/>
      <protection locked="0"/>
    </xf>
    <xf numFmtId="0" fontId="11" fillId="0" borderId="0" applyFill="0" applyBorder="0" applyAlignment="0">
      <protection/>
    </xf>
    <xf numFmtId="0" fontId="11" fillId="0" borderId="0" applyFill="0" applyBorder="0" applyAlignment="0">
      <protection/>
    </xf>
    <xf numFmtId="187" fontId="34" fillId="0" borderId="0" applyFill="0" applyBorder="0" applyAlignment="0">
      <protection/>
    </xf>
    <xf numFmtId="188" fontId="34" fillId="0" borderId="0" applyFill="0" applyBorder="0" applyAlignment="0">
      <protection/>
    </xf>
    <xf numFmtId="189" fontId="11" fillId="0" borderId="0" applyFill="0" applyBorder="0" applyAlignment="0">
      <protection/>
    </xf>
    <xf numFmtId="189" fontId="11" fillId="0" borderId="0" applyFill="0" applyBorder="0" applyAlignment="0">
      <protection/>
    </xf>
    <xf numFmtId="190" fontId="11" fillId="0" borderId="0" applyFill="0" applyBorder="0" applyAlignment="0">
      <protection/>
    </xf>
    <xf numFmtId="190" fontId="11" fillId="0" borderId="0" applyFill="0" applyBorder="0" applyAlignment="0">
      <protection/>
    </xf>
    <xf numFmtId="191" fontId="34" fillId="0" borderId="0" applyFill="0" applyBorder="0" applyAlignment="0">
      <protection/>
    </xf>
    <xf numFmtId="192" fontId="34" fillId="0" borderId="0" applyFill="0" applyBorder="0" applyAlignment="0">
      <protection/>
    </xf>
    <xf numFmtId="187" fontId="34" fillId="0" borderId="0" applyFill="0" applyBorder="0" applyAlignment="0">
      <protection/>
    </xf>
    <xf numFmtId="0" fontId="108" fillId="0" borderId="1" applyNumberFormat="0" applyFill="0" applyAlignment="0" applyProtection="0"/>
    <xf numFmtId="171" fontId="0" fillId="0" borderId="2" applyNumberFormat="0" applyFont="0" applyFill="0" applyAlignment="0" applyProtection="0"/>
    <xf numFmtId="193" fontId="11" fillId="0" borderId="0" applyFont="0" applyFill="0" applyBorder="0" applyAlignment="0" applyProtection="0"/>
    <xf numFmtId="191" fontId="34" fillId="0" borderId="0" applyFont="0" applyFill="0" applyBorder="0" applyAlignment="0" applyProtection="0"/>
    <xf numFmtId="194" fontId="11" fillId="0" borderId="0" applyFont="0" applyFill="0" applyBorder="0" applyAlignment="0" applyProtection="0"/>
    <xf numFmtId="0" fontId="46" fillId="0" borderId="0" applyNumberFormat="0" applyAlignment="0">
      <protection/>
    </xf>
    <xf numFmtId="0" fontId="47" fillId="0" borderId="0" applyNumberFormat="0" applyAlignment="0">
      <protection/>
    </xf>
    <xf numFmtId="195" fontId="11" fillId="0" borderId="0" applyFont="0" applyFill="0" applyBorder="0" applyAlignment="0" applyProtection="0"/>
    <xf numFmtId="187" fontId="34" fillId="0" borderId="0" applyFont="0" applyFill="0" applyBorder="0" applyAlignment="0" applyProtection="0"/>
    <xf numFmtId="196"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4" fontId="49" fillId="0" borderId="0" applyFill="0" applyBorder="0" applyAlignment="0">
      <protection/>
    </xf>
    <xf numFmtId="197" fontId="11" fillId="0" borderId="0" applyFont="0" applyFill="0" applyBorder="0" applyAlignment="0" applyProtection="0"/>
    <xf numFmtId="198" fontId="11" fillId="0" borderId="0" applyFont="0" applyFill="0" applyBorder="0" applyAlignment="0" applyProtection="0"/>
    <xf numFmtId="191" fontId="34" fillId="0" borderId="0" applyFill="0" applyBorder="0" applyAlignment="0">
      <protection/>
    </xf>
    <xf numFmtId="187" fontId="34" fillId="0" borderId="0" applyFill="0" applyBorder="0" applyAlignment="0">
      <protection/>
    </xf>
    <xf numFmtId="191" fontId="34" fillId="0" borderId="0" applyFill="0" applyBorder="0" applyAlignment="0">
      <protection/>
    </xf>
    <xf numFmtId="192" fontId="34" fillId="0" borderId="0" applyFill="0" applyBorder="0" applyAlignment="0">
      <protection/>
    </xf>
    <xf numFmtId="187" fontId="34" fillId="0" borderId="0" applyFill="0" applyBorder="0" applyAlignment="0">
      <protection/>
    </xf>
    <xf numFmtId="0" fontId="50" fillId="0" borderId="0" applyNumberFormat="0" applyAlignment="0">
      <protection/>
    </xf>
    <xf numFmtId="0" fontId="10" fillId="0" borderId="0">
      <alignment/>
      <protection/>
    </xf>
    <xf numFmtId="38" fontId="44" fillId="20" borderId="0" applyNumberFormat="0" applyBorder="0" applyAlignment="0" applyProtection="0"/>
    <xf numFmtId="0" fontId="18" fillId="0" borderId="3" applyNumberFormat="0" applyAlignment="0" applyProtection="0"/>
    <xf numFmtId="0" fontId="18" fillId="0" borderId="4">
      <alignment horizontal="left" vertical="center"/>
      <protection/>
    </xf>
    <xf numFmtId="0" fontId="51" fillId="0" borderId="0">
      <alignment/>
      <protection/>
    </xf>
    <xf numFmtId="0" fontId="51" fillId="0" borderId="0">
      <alignment/>
      <protection/>
    </xf>
    <xf numFmtId="0" fontId="52"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10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9" fillId="0" borderId="0" applyNumberFormat="0" applyFill="0" applyBorder="0" applyAlignment="0" applyProtection="0"/>
    <xf numFmtId="0" fontId="110" fillId="21" borderId="0" applyNumberFormat="0" applyBorder="0" applyAlignment="0" applyProtection="0"/>
    <xf numFmtId="0" fontId="82" fillId="22" borderId="0" applyNumberFormat="0" applyBorder="0" applyAlignment="0" applyProtection="0"/>
    <xf numFmtId="10" fontId="44" fillId="23" borderId="5" applyNumberFormat="0" applyBorder="0" applyAlignment="0" applyProtection="0"/>
    <xf numFmtId="187" fontId="53" fillId="24" borderId="0">
      <alignment/>
      <protection/>
    </xf>
    <xf numFmtId="0" fontId="24" fillId="0" borderId="0">
      <alignment horizontal="centerContinuous" vertical="center"/>
      <protection/>
    </xf>
    <xf numFmtId="0" fontId="111" fillId="25" borderId="6" applyNumberFormat="0" applyAlignment="0" applyProtection="0"/>
    <xf numFmtId="0" fontId="54" fillId="0" borderId="7" applyNumberFormat="0" applyFont="0" applyFill="0" applyAlignment="0" applyProtection="0"/>
    <xf numFmtId="191" fontId="34" fillId="0" borderId="0" applyFill="0" applyBorder="0" applyAlignment="0">
      <protection/>
    </xf>
    <xf numFmtId="187" fontId="34" fillId="0" borderId="0" applyFill="0" applyBorder="0" applyAlignment="0">
      <protection/>
    </xf>
    <xf numFmtId="191" fontId="34" fillId="0" borderId="0" applyFill="0" applyBorder="0" applyAlignment="0">
      <protection/>
    </xf>
    <xf numFmtId="192" fontId="34" fillId="0" borderId="0" applyFill="0" applyBorder="0" applyAlignment="0">
      <protection/>
    </xf>
    <xf numFmtId="187" fontId="34" fillId="0" borderId="0" applyFill="0" applyBorder="0" applyAlignment="0">
      <protection/>
    </xf>
    <xf numFmtId="187" fontId="55" fillId="26" borderId="0">
      <alignment/>
      <protection/>
    </xf>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6" fillId="0" borderId="0" applyFont="0" applyFill="0" applyBorder="0" applyAlignment="0" applyProtection="0"/>
    <xf numFmtId="44" fontId="10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56" fillId="0" borderId="0" applyFont="0" applyFill="0" applyBorder="0" applyAlignment="0" applyProtection="0"/>
    <xf numFmtId="200" fontId="56" fillId="0" borderId="0" applyFont="0" applyFill="0" applyBorder="0" applyAlignment="0" applyProtection="0"/>
    <xf numFmtId="201" fontId="56" fillId="0" borderId="0" applyFont="0" applyFill="0" applyBorder="0" applyAlignment="0" applyProtection="0"/>
    <xf numFmtId="202" fontId="56" fillId="0" borderId="0" applyFont="0" applyFill="0" applyBorder="0" applyAlignment="0" applyProtection="0"/>
    <xf numFmtId="203" fontId="57" fillId="0" borderId="0" applyFill="0" applyAlignment="0">
      <protection/>
    </xf>
    <xf numFmtId="0" fontId="112" fillId="0" borderId="8" applyNumberFormat="0" applyFill="0" applyAlignment="0" applyProtection="0"/>
    <xf numFmtId="0" fontId="113" fillId="0" borderId="9" applyNumberFormat="0" applyFill="0" applyAlignment="0" applyProtection="0"/>
    <xf numFmtId="0" fontId="114" fillId="0" borderId="10"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27" borderId="0" applyNumberFormat="0" applyBorder="0" applyAlignment="0" applyProtection="0"/>
    <xf numFmtId="37" fontId="58" fillId="0" borderId="0">
      <alignment/>
      <protection/>
    </xf>
    <xf numFmtId="0" fontId="0" fillId="0" borderId="0" applyNumberFormat="0" applyFill="0" applyBorder="0" applyAlignment="0" applyProtection="0"/>
    <xf numFmtId="204" fontId="59" fillId="0" borderId="0">
      <alignment/>
      <protection/>
    </xf>
    <xf numFmtId="0" fontId="60" fillId="0" borderId="0">
      <alignment/>
      <protection/>
    </xf>
    <xf numFmtId="0" fontId="0" fillId="0" borderId="0">
      <alignment/>
      <protection/>
    </xf>
    <xf numFmtId="0" fontId="11" fillId="0" borderId="0" applyAlignment="0">
      <protection locked="0"/>
    </xf>
    <xf numFmtId="0" fontId="11" fillId="0" borderId="0" applyAlignment="0">
      <protection locked="0"/>
    </xf>
    <xf numFmtId="0" fontId="118" fillId="0" borderId="0">
      <alignment/>
      <protection/>
    </xf>
    <xf numFmtId="0" fontId="11" fillId="0" borderId="0">
      <alignment/>
      <protection/>
    </xf>
    <xf numFmtId="0" fontId="11" fillId="0" borderId="0">
      <alignment/>
      <protection/>
    </xf>
    <xf numFmtId="0" fontId="11" fillId="0" borderId="0">
      <alignment/>
      <protection/>
    </xf>
    <xf numFmtId="0" fontId="106" fillId="0" borderId="0">
      <alignment/>
      <protection/>
    </xf>
    <xf numFmtId="0" fontId="42" fillId="0" borderId="0" applyAlignment="0">
      <protection locked="0"/>
    </xf>
    <xf numFmtId="0" fontId="48"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48" fillId="0" borderId="0" applyAlignment="0">
      <protection locked="0"/>
    </xf>
    <xf numFmtId="0" fontId="119" fillId="0" borderId="0">
      <alignment/>
      <protection/>
    </xf>
    <xf numFmtId="0" fontId="118" fillId="0" borderId="0">
      <alignment/>
      <protection/>
    </xf>
    <xf numFmtId="0" fontId="42" fillId="0" borderId="0" applyAlignment="0">
      <protection locked="0"/>
    </xf>
    <xf numFmtId="0" fontId="11" fillId="0" borderId="0">
      <alignment/>
      <protection/>
    </xf>
    <xf numFmtId="0" fontId="11"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42" fillId="0" borderId="0" applyAlignment="0">
      <protection locked="0"/>
    </xf>
    <xf numFmtId="0" fontId="42" fillId="0" borderId="0" applyAlignment="0">
      <protection locked="0"/>
    </xf>
    <xf numFmtId="0" fontId="42" fillId="0" borderId="0" applyAlignment="0">
      <protection locked="0"/>
    </xf>
    <xf numFmtId="0" fontId="42" fillId="0" borderId="0" applyAlignment="0">
      <protection locked="0"/>
    </xf>
    <xf numFmtId="0" fontId="106" fillId="0" borderId="0">
      <alignment/>
      <protection/>
    </xf>
    <xf numFmtId="0" fontId="20" fillId="0" borderId="0">
      <alignment/>
      <protection/>
    </xf>
    <xf numFmtId="0" fontId="0" fillId="0" borderId="0">
      <alignment/>
      <protection/>
    </xf>
    <xf numFmtId="0" fontId="0" fillId="0" borderId="0" applyProtection="0">
      <alignment/>
    </xf>
    <xf numFmtId="0" fontId="20" fillId="0" borderId="0">
      <alignment/>
      <protection/>
    </xf>
    <xf numFmtId="0" fontId="20" fillId="0" borderId="0">
      <alignment/>
      <protection/>
    </xf>
    <xf numFmtId="0" fontId="106" fillId="0" borderId="0">
      <alignment/>
      <protection/>
    </xf>
    <xf numFmtId="0" fontId="5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11" fillId="0" borderId="0">
      <alignment/>
      <protection/>
    </xf>
    <xf numFmtId="0" fontId="11" fillId="0" borderId="0">
      <alignment/>
      <protection/>
    </xf>
    <xf numFmtId="0" fontId="11" fillId="0" borderId="0" applyAlignment="0">
      <protection locked="0"/>
    </xf>
    <xf numFmtId="0" fontId="118" fillId="0" borderId="0">
      <alignment/>
      <protection/>
    </xf>
    <xf numFmtId="0" fontId="10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61" fillId="28" borderId="0">
      <alignment/>
      <protection/>
    </xf>
    <xf numFmtId="0" fontId="11" fillId="0" borderId="0" applyAlignment="0">
      <protection locked="0"/>
    </xf>
    <xf numFmtId="0" fontId="11" fillId="0" borderId="0" applyAlignment="0">
      <protection locked="0"/>
    </xf>
    <xf numFmtId="0" fontId="11" fillId="0" borderId="0" applyAlignment="0">
      <protection locked="0"/>
    </xf>
    <xf numFmtId="0" fontId="11" fillId="0" borderId="0" applyAlignment="0">
      <protection locked="0"/>
    </xf>
    <xf numFmtId="0" fontId="0" fillId="0" borderId="0">
      <alignment/>
      <protection/>
    </xf>
    <xf numFmtId="0" fontId="11" fillId="0" borderId="0" applyAlignment="0">
      <protection locked="0"/>
    </xf>
    <xf numFmtId="0" fontId="11" fillId="0" borderId="0" applyAlignment="0">
      <protection locked="0"/>
    </xf>
    <xf numFmtId="0" fontId="0" fillId="0" borderId="0">
      <alignment/>
      <protection/>
    </xf>
    <xf numFmtId="0" fontId="11" fillId="0" borderId="0" applyAlignment="0">
      <protection locked="0"/>
    </xf>
    <xf numFmtId="0" fontId="11" fillId="0" borderId="0" applyAlignment="0">
      <protection locked="0"/>
    </xf>
    <xf numFmtId="0" fontId="0" fillId="0" borderId="0">
      <alignment/>
      <protection/>
    </xf>
    <xf numFmtId="0" fontId="34" fillId="0" borderId="0">
      <alignment/>
      <protection/>
    </xf>
    <xf numFmtId="0" fontId="11" fillId="0" borderId="0">
      <alignment/>
      <protection/>
    </xf>
    <xf numFmtId="194" fontId="11" fillId="0" borderId="0" applyFont="0" applyFill="0" applyBorder="0" applyAlignment="0" applyProtection="0"/>
    <xf numFmtId="193" fontId="11" fillId="0" borderId="0" applyFont="0" applyFill="0" applyBorder="0" applyAlignment="0" applyProtection="0"/>
    <xf numFmtId="14" fontId="45" fillId="0" borderId="0">
      <alignment horizontal="center" wrapText="1"/>
      <protection locked="0"/>
    </xf>
    <xf numFmtId="190" fontId="11" fillId="0" borderId="0" applyFont="0" applyFill="0" applyBorder="0" applyAlignment="0" applyProtection="0"/>
    <xf numFmtId="190" fontId="11" fillId="0" borderId="0" applyFont="0" applyFill="0" applyBorder="0" applyAlignment="0" applyProtection="0"/>
    <xf numFmtId="205"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99" fontId="11" fillId="0" borderId="0" applyFont="0" applyFill="0" applyBorder="0" applyAlignment="0" applyProtection="0"/>
    <xf numFmtId="0" fontId="21" fillId="20" borderId="4" applyNumberFormat="0" applyFont="0">
      <alignment horizontal="centerContinuous" vertical="center"/>
      <protection/>
    </xf>
    <xf numFmtId="0" fontId="62" fillId="0" borderId="0">
      <alignment/>
      <protection/>
    </xf>
    <xf numFmtId="0" fontId="62" fillId="0" borderId="0">
      <alignment/>
      <protection/>
    </xf>
    <xf numFmtId="0" fontId="23" fillId="0" borderId="2" applyNumberFormat="0" applyFont="0" applyFill="0" applyAlignment="0" applyProtection="0"/>
    <xf numFmtId="0" fontId="8" fillId="0" borderId="0" applyNumberFormat="0" applyFill="0" applyBorder="0" applyAlignment="0" applyProtection="0"/>
    <xf numFmtId="0" fontId="0" fillId="29" borderId="11" applyNumberFormat="0" applyFont="0" applyAlignment="0" applyProtection="0"/>
    <xf numFmtId="0" fontId="20" fillId="29" borderId="11" applyNumberFormat="0" applyFont="0" applyAlignment="0" applyProtection="0"/>
    <xf numFmtId="0" fontId="20" fillId="29" borderId="11" applyNumberFormat="0" applyFont="0" applyAlignment="0" applyProtection="0"/>
    <xf numFmtId="0" fontId="20" fillId="29" borderId="11" applyNumberFormat="0" applyFont="0" applyAlignment="0" applyProtection="0"/>
    <xf numFmtId="0" fontId="20" fillId="29" borderId="11" applyNumberFormat="0" applyFont="0" applyAlignment="0" applyProtection="0"/>
    <xf numFmtId="0" fontId="20" fillId="29" borderId="11" applyNumberFormat="0" applyFont="0" applyAlignment="0" applyProtection="0"/>
    <xf numFmtId="0" fontId="20" fillId="29" borderId="11" applyNumberFormat="0" applyFont="0" applyAlignment="0" applyProtection="0"/>
    <xf numFmtId="0" fontId="20" fillId="29" borderId="11" applyNumberFormat="0" applyFont="0" applyAlignment="0" applyProtection="0"/>
    <xf numFmtId="0" fontId="106" fillId="29" borderId="11" applyNumberFormat="0" applyFont="0" applyAlignment="0" applyProtection="0"/>
    <xf numFmtId="0" fontId="20" fillId="29" borderId="11" applyNumberFormat="0" applyFont="0" applyAlignment="0" applyProtection="0"/>
    <xf numFmtId="191" fontId="34" fillId="0" borderId="0" applyFill="0" applyBorder="0" applyAlignment="0">
      <protection/>
    </xf>
    <xf numFmtId="187" fontId="34" fillId="0" borderId="0" applyFill="0" applyBorder="0" applyAlignment="0">
      <protection/>
    </xf>
    <xf numFmtId="191" fontId="34" fillId="0" borderId="0" applyFill="0" applyBorder="0" applyAlignment="0">
      <protection/>
    </xf>
    <xf numFmtId="192" fontId="34" fillId="0" borderId="0" applyFill="0" applyBorder="0" applyAlignment="0">
      <protection/>
    </xf>
    <xf numFmtId="187" fontId="34" fillId="0" borderId="0" applyFill="0" applyBorder="0" applyAlignment="0">
      <protection/>
    </xf>
    <xf numFmtId="206" fontId="11" fillId="0" borderId="0">
      <alignment/>
      <protection/>
    </xf>
    <xf numFmtId="206" fontId="11" fillId="0" borderId="0">
      <alignment/>
      <protection/>
    </xf>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20" fillId="0" borderId="12" applyNumberFormat="0" applyFill="0" applyAlignment="0" applyProtection="0"/>
    <xf numFmtId="0" fontId="63" fillId="0" borderId="0" applyNumberFormat="0" applyFont="0" applyFill="0" applyBorder="0" applyAlignment="0" applyProtection="0"/>
    <xf numFmtId="0" fontId="64" fillId="0" borderId="0" applyNumberFormat="0" applyFill="0" applyBorder="0" applyAlignment="0" applyProtection="0"/>
    <xf numFmtId="0" fontId="121" fillId="30" borderId="0" applyNumberFormat="0" applyBorder="0" applyAlignment="0" applyProtection="0"/>
    <xf numFmtId="0" fontId="11" fillId="0" borderId="0">
      <alignment/>
      <protection/>
    </xf>
    <xf numFmtId="0" fontId="9" fillId="31" borderId="0">
      <alignment horizontal="left"/>
      <protection/>
    </xf>
    <xf numFmtId="0" fontId="12" fillId="32" borderId="0">
      <alignment/>
      <protection/>
    </xf>
    <xf numFmtId="0" fontId="0" fillId="0" borderId="0" applyProtection="0">
      <alignment/>
    </xf>
    <xf numFmtId="40" fontId="65" fillId="0" borderId="0" applyBorder="0">
      <alignment horizontal="right"/>
      <protection/>
    </xf>
    <xf numFmtId="49" fontId="49" fillId="0" borderId="0" applyFill="0" applyBorder="0" applyAlignment="0">
      <protection/>
    </xf>
    <xf numFmtId="199" fontId="11" fillId="0" borderId="0" applyFill="0" applyBorder="0" applyAlignment="0">
      <protection/>
    </xf>
    <xf numFmtId="199" fontId="11" fillId="0" borderId="0" applyFill="0" applyBorder="0" applyAlignment="0">
      <protection/>
    </xf>
    <xf numFmtId="202" fontId="11" fillId="0" borderId="0" applyFill="0" applyBorder="0" applyAlignment="0">
      <protection/>
    </xf>
    <xf numFmtId="202" fontId="11" fillId="0" borderId="0" applyFill="0" applyBorder="0" applyAlignment="0">
      <protection/>
    </xf>
    <xf numFmtId="0" fontId="122" fillId="0" borderId="0" applyNumberFormat="0" applyFill="0" applyBorder="0" applyAlignment="0" applyProtection="0"/>
    <xf numFmtId="0" fontId="9" fillId="0" borderId="0">
      <alignment/>
      <protection/>
    </xf>
    <xf numFmtId="167" fontId="17" fillId="0" borderId="5">
      <alignment horizontal="right" vertical="center"/>
      <protection/>
    </xf>
    <xf numFmtId="0" fontId="123" fillId="33" borderId="13" applyNumberFormat="0" applyAlignment="0" applyProtection="0"/>
    <xf numFmtId="0" fontId="0" fillId="0" borderId="5">
      <alignment horizontal="center" vertical="center"/>
      <protection locked="0"/>
    </xf>
    <xf numFmtId="0" fontId="124" fillId="34" borderId="13" applyNumberFormat="0" applyAlignment="0" applyProtection="0"/>
    <xf numFmtId="0" fontId="125" fillId="34" borderId="14" applyNumberFormat="0" applyAlignment="0" applyProtection="0"/>
    <xf numFmtId="0" fontId="126" fillId="0" borderId="0" applyNumberForma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0" fontId="0" fillId="0" borderId="0">
      <alignment/>
      <protection/>
    </xf>
    <xf numFmtId="0" fontId="66" fillId="0" borderId="5">
      <alignment horizontal="center" vertical="center"/>
      <protection/>
    </xf>
    <xf numFmtId="0" fontId="107" fillId="35" borderId="0" applyNumberFormat="0" applyBorder="0" applyAlignment="0" applyProtection="0"/>
    <xf numFmtId="0" fontId="107" fillId="36" borderId="0" applyNumberFormat="0" applyBorder="0" applyAlignment="0" applyProtection="0"/>
    <xf numFmtId="0" fontId="107" fillId="37" borderId="0" applyNumberFormat="0" applyBorder="0" applyAlignment="0" applyProtection="0"/>
    <xf numFmtId="0" fontId="107" fillId="38" borderId="0" applyNumberFormat="0" applyBorder="0" applyAlignment="0" applyProtection="0"/>
    <xf numFmtId="0" fontId="107" fillId="39" borderId="0" applyNumberFormat="0" applyBorder="0" applyAlignment="0" applyProtection="0"/>
    <xf numFmtId="0" fontId="107" fillId="40" borderId="0" applyNumberFormat="0" applyBorder="0" applyAlignment="0" applyProtection="0"/>
  </cellStyleXfs>
  <cellXfs count="563">
    <xf numFmtId="0" fontId="0" fillId="0" borderId="0" xfId="0" applyAlignment="1">
      <alignment/>
    </xf>
    <xf numFmtId="0" fontId="0" fillId="0" borderId="0" xfId="0" applyAlignment="1">
      <alignment/>
    </xf>
    <xf numFmtId="49" fontId="6" fillId="0" borderId="0" xfId="0" applyNumberFormat="1" applyFont="1" applyAlignment="1">
      <alignment horizontal="left" vertical="center"/>
    </xf>
    <xf numFmtId="49" fontId="4" fillId="0" borderId="15" xfId="0" applyNumberFormat="1" applyFont="1" applyBorder="1" applyAlignment="1">
      <alignment horizontal="center" vertical="center"/>
    </xf>
    <xf numFmtId="4" fontId="4" fillId="0" borderId="15" xfId="0" applyNumberFormat="1" applyFont="1" applyBorder="1" applyAlignment="1">
      <alignment horizontal="right" vertical="center"/>
    </xf>
    <xf numFmtId="4" fontId="6" fillId="0" borderId="16" xfId="0" applyNumberFormat="1" applyFont="1" applyBorder="1" applyAlignment="1">
      <alignment horizontal="right" vertical="center"/>
    </xf>
    <xf numFmtId="4" fontId="6" fillId="0" borderId="0" xfId="0" applyNumberFormat="1" applyFont="1" applyAlignment="1">
      <alignment horizontal="right" vertical="center"/>
    </xf>
    <xf numFmtId="0" fontId="0" fillId="0" borderId="0" xfId="0" applyFill="1" applyAlignment="1">
      <alignment/>
    </xf>
    <xf numFmtId="0" fontId="9" fillId="0" borderId="0" xfId="0" applyFont="1" applyAlignment="1">
      <alignment horizontal="center"/>
    </xf>
    <xf numFmtId="0" fontId="0" fillId="0" borderId="0" xfId="0" applyBorder="1" applyAlignment="1">
      <alignment/>
    </xf>
    <xf numFmtId="0" fontId="9" fillId="0" borderId="0" xfId="0" applyFont="1" applyAlignment="1">
      <alignment/>
    </xf>
    <xf numFmtId="0" fontId="0" fillId="0" borderId="0" xfId="0" applyAlignment="1">
      <alignment horizontal="center"/>
    </xf>
    <xf numFmtId="0" fontId="0" fillId="0" borderId="0" xfId="245">
      <alignment/>
      <protection/>
    </xf>
    <xf numFmtId="0" fontId="0" fillId="0" borderId="0" xfId="245" applyFill="1">
      <alignment/>
      <protection/>
    </xf>
    <xf numFmtId="0" fontId="14" fillId="0" borderId="0" xfId="245" applyFont="1" applyFill="1">
      <alignment/>
      <protection/>
    </xf>
    <xf numFmtId="0" fontId="0" fillId="0" borderId="0" xfId="245" applyFont="1" applyFill="1">
      <alignment/>
      <protection/>
    </xf>
    <xf numFmtId="0" fontId="0" fillId="0" borderId="0" xfId="245" applyFill="1" applyAlignment="1">
      <alignment horizontal="right"/>
      <protection/>
    </xf>
    <xf numFmtId="0" fontId="0" fillId="0" borderId="0" xfId="245" applyFill="1" applyAlignment="1">
      <alignment/>
      <protection/>
    </xf>
    <xf numFmtId="0" fontId="0" fillId="0" borderId="0" xfId="245" applyBorder="1">
      <alignment/>
      <protection/>
    </xf>
    <xf numFmtId="0" fontId="15" fillId="0" borderId="0" xfId="245" applyFont="1" applyAlignment="1">
      <alignment/>
      <protection/>
    </xf>
    <xf numFmtId="0" fontId="0" fillId="0" borderId="0" xfId="245" applyAlignment="1">
      <alignment horizontal="right"/>
      <protection/>
    </xf>
    <xf numFmtId="0" fontId="16" fillId="0" borderId="0" xfId="245" applyFont="1" applyBorder="1">
      <alignment/>
      <protection/>
    </xf>
    <xf numFmtId="3" fontId="16" fillId="0" borderId="0" xfId="245" applyNumberFormat="1" applyFont="1" applyBorder="1" applyAlignment="1">
      <alignment horizontal="right"/>
      <protection/>
    </xf>
    <xf numFmtId="4" fontId="16" fillId="0" borderId="0" xfId="245" applyNumberFormat="1" applyFont="1" applyBorder="1">
      <alignment/>
      <protection/>
    </xf>
    <xf numFmtId="0" fontId="15" fillId="0" borderId="0" xfId="245" applyFont="1" applyBorder="1" applyAlignment="1">
      <alignment/>
      <protection/>
    </xf>
    <xf numFmtId="0" fontId="0" fillId="0" borderId="0" xfId="245" applyBorder="1" applyAlignment="1">
      <alignment horizontal="right"/>
      <protection/>
    </xf>
    <xf numFmtId="0" fontId="13" fillId="0" borderId="0" xfId="0" applyFont="1" applyAlignment="1">
      <alignment/>
    </xf>
    <xf numFmtId="49" fontId="19" fillId="0" borderId="0" xfId="0" applyNumberFormat="1" applyFont="1" applyAlignment="1">
      <alignment horizontal="left" vertical="center"/>
    </xf>
    <xf numFmtId="4" fontId="19" fillId="0" borderId="0" xfId="0" applyNumberFormat="1" applyFont="1" applyAlignment="1">
      <alignment horizontal="right" vertical="center"/>
    </xf>
    <xf numFmtId="0" fontId="13" fillId="0" borderId="0" xfId="0" applyFont="1" applyAlignment="1">
      <alignment/>
    </xf>
    <xf numFmtId="49" fontId="6" fillId="0" borderId="0" xfId="0" applyNumberFormat="1" applyFont="1" applyAlignment="1">
      <alignment horizontal="center" vertical="center"/>
    </xf>
    <xf numFmtId="49" fontId="6"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127" fillId="0" borderId="18" xfId="0" applyNumberFormat="1" applyFont="1" applyBorder="1" applyAlignment="1">
      <alignment horizontal="left" vertical="center"/>
    </xf>
    <xf numFmtId="49" fontId="4" fillId="0" borderId="18" xfId="0" applyNumberFormat="1" applyFont="1" applyFill="1" applyBorder="1" applyAlignment="1">
      <alignment horizontal="center" vertical="center"/>
    </xf>
    <xf numFmtId="0" fontId="0" fillId="0" borderId="0" xfId="0" applyFill="1" applyBorder="1" applyAlignment="1">
      <alignment/>
    </xf>
    <xf numFmtId="0" fontId="11" fillId="0" borderId="0" xfId="0" applyFont="1" applyFill="1" applyBorder="1" applyAlignment="1">
      <alignment/>
    </xf>
    <xf numFmtId="167" fontId="0" fillId="0" borderId="0" xfId="0" applyNumberFormat="1" applyAlignment="1">
      <alignment/>
    </xf>
    <xf numFmtId="49" fontId="4" fillId="0" borderId="18" xfId="0" applyNumberFormat="1" applyFont="1" applyBorder="1" applyAlignment="1">
      <alignment horizontal="left" vertical="center"/>
    </xf>
    <xf numFmtId="4" fontId="0" fillId="0" borderId="0" xfId="0" applyNumberFormat="1" applyAlignment="1">
      <alignment/>
    </xf>
    <xf numFmtId="49" fontId="19" fillId="0" borderId="0" xfId="0" applyNumberFormat="1" applyFont="1" applyAlignment="1">
      <alignment horizontal="center" vertical="center"/>
    </xf>
    <xf numFmtId="0" fontId="13" fillId="0" borderId="0" xfId="0" applyFont="1" applyAlignment="1">
      <alignment horizontal="center"/>
    </xf>
    <xf numFmtId="0" fontId="0" fillId="0" borderId="0" xfId="245" applyFont="1" applyFill="1" applyAlignment="1">
      <alignment horizontal="center"/>
      <protection/>
    </xf>
    <xf numFmtId="0" fontId="0" fillId="0" borderId="0" xfId="245" applyAlignment="1">
      <alignment horizontal="center"/>
      <protection/>
    </xf>
    <xf numFmtId="0" fontId="0" fillId="0" borderId="0" xfId="245" applyBorder="1" applyAlignment="1">
      <alignment horizontal="center"/>
      <protection/>
    </xf>
    <xf numFmtId="0" fontId="15" fillId="0" borderId="0" xfId="245" applyFont="1" applyAlignment="1">
      <alignment horizontal="center"/>
      <protection/>
    </xf>
    <xf numFmtId="0" fontId="15" fillId="0" borderId="0" xfId="245" applyFont="1" applyBorder="1" applyAlignment="1">
      <alignment horizontal="center"/>
      <protection/>
    </xf>
    <xf numFmtId="49" fontId="2" fillId="5" borderId="0" xfId="0" applyNumberFormat="1" applyFont="1" applyFill="1" applyAlignment="1">
      <alignment horizontal="right" vertical="center"/>
    </xf>
    <xf numFmtId="49" fontId="28" fillId="41" borderId="19" xfId="0" applyNumberFormat="1" applyFont="1" applyFill="1" applyBorder="1" applyAlignment="1">
      <alignment horizontal="center" vertical="center"/>
    </xf>
    <xf numFmtId="49" fontId="28" fillId="41" borderId="20" xfId="0" applyNumberFormat="1" applyFont="1" applyFill="1" applyBorder="1" applyAlignment="1">
      <alignment horizontal="center" vertical="center"/>
    </xf>
    <xf numFmtId="0" fontId="28" fillId="41" borderId="21" xfId="0" applyFont="1" applyFill="1" applyBorder="1" applyAlignment="1">
      <alignment horizontal="center" vertical="center"/>
    </xf>
    <xf numFmtId="0" fontId="28" fillId="41" borderId="22" xfId="0" applyFont="1" applyFill="1" applyBorder="1" applyAlignment="1">
      <alignment horizontal="center" vertical="center"/>
    </xf>
    <xf numFmtId="0" fontId="28" fillId="41" borderId="23" xfId="0" applyFont="1" applyFill="1" applyBorder="1" applyAlignment="1">
      <alignment horizontal="center" vertical="center"/>
    </xf>
    <xf numFmtId="49" fontId="6" fillId="0" borderId="0" xfId="0" applyNumberFormat="1" applyFont="1" applyBorder="1" applyAlignment="1">
      <alignment horizontal="center" vertical="center"/>
    </xf>
    <xf numFmtId="0" fontId="11" fillId="0" borderId="0" xfId="0" applyFont="1" applyAlignment="1">
      <alignment/>
    </xf>
    <xf numFmtId="49" fontId="29" fillId="0" borderId="0" xfId="0" applyNumberFormat="1" applyFont="1" applyAlignment="1">
      <alignment/>
    </xf>
    <xf numFmtId="172" fontId="30" fillId="0" borderId="0" xfId="0" applyNumberFormat="1" applyFont="1" applyAlignment="1">
      <alignment horizontal="left" indent="3"/>
    </xf>
    <xf numFmtId="172" fontId="17" fillId="0" borderId="0" xfId="0" applyNumberFormat="1" applyFont="1" applyAlignment="1">
      <alignment horizontal="left" indent="3"/>
    </xf>
    <xf numFmtId="49" fontId="32" fillId="0" borderId="24" xfId="0" applyNumberFormat="1" applyFont="1" applyBorder="1" applyAlignment="1">
      <alignment horizontal="center"/>
    </xf>
    <xf numFmtId="49" fontId="32" fillId="0" borderId="0" xfId="0" applyNumberFormat="1" applyFont="1" applyBorder="1" applyAlignment="1">
      <alignment horizontal="left"/>
    </xf>
    <xf numFmtId="49" fontId="32" fillId="0" borderId="0" xfId="0" applyNumberFormat="1" applyFont="1" applyBorder="1" applyAlignment="1">
      <alignment horizontal="right"/>
    </xf>
    <xf numFmtId="49" fontId="33" fillId="0" borderId="0" xfId="0" applyNumberFormat="1" applyFont="1" applyAlignment="1">
      <alignment horizontal="left" indent="1"/>
    </xf>
    <xf numFmtId="49" fontId="32" fillId="0" borderId="0" xfId="0" applyNumberFormat="1" applyFont="1" applyAlignment="1">
      <alignment horizontal="left" indent="2"/>
    </xf>
    <xf numFmtId="175" fontId="32" fillId="0" borderId="0" xfId="0" applyNumberFormat="1" applyFont="1" applyAlignment="1">
      <alignment/>
    </xf>
    <xf numFmtId="0" fontId="27" fillId="0" borderId="25" xfId="0" applyFont="1" applyBorder="1" applyAlignment="1">
      <alignment horizontal="left"/>
    </xf>
    <xf numFmtId="0" fontId="37" fillId="0" borderId="0" xfId="246" applyFont="1" applyAlignment="1">
      <alignment horizontal="left" wrapText="1"/>
      <protection/>
    </xf>
    <xf numFmtId="0" fontId="17" fillId="0" borderId="0" xfId="246" applyFont="1" applyBorder="1" applyAlignment="1">
      <alignment vertical="center"/>
      <protection/>
    </xf>
    <xf numFmtId="0" fontId="17" fillId="0" borderId="0" xfId="188" applyFont="1" applyAlignment="1">
      <alignment/>
      <protection/>
    </xf>
    <xf numFmtId="0" fontId="9" fillId="0" borderId="0" xfId="190" applyNumberFormat="1" applyFont="1" applyAlignment="1">
      <alignment vertical="center" wrapText="1"/>
      <protection/>
    </xf>
    <xf numFmtId="0" fontId="0" fillId="0" borderId="0" xfId="190" applyNumberFormat="1" applyAlignment="1">
      <alignment horizontal="left" vertical="center" wrapText="1"/>
      <protection/>
    </xf>
    <xf numFmtId="0" fontId="9" fillId="0" borderId="0" xfId="190" applyNumberFormat="1" applyFont="1" applyAlignment="1">
      <alignment horizontal="left" vertical="center" wrapText="1"/>
      <protection/>
    </xf>
    <xf numFmtId="0" fontId="0" fillId="0" borderId="0" xfId="190" applyNumberFormat="1" applyAlignment="1">
      <alignment vertical="center" wrapText="1"/>
      <protection/>
    </xf>
    <xf numFmtId="0" fontId="0" fillId="0" borderId="0" xfId="190" applyNumberFormat="1" applyFill="1" applyAlignment="1">
      <alignment vertical="center" wrapText="1"/>
      <protection/>
    </xf>
    <xf numFmtId="0" fontId="11" fillId="0" borderId="0" xfId="190" applyNumberFormat="1" applyFont="1" applyAlignment="1">
      <alignment vertical="center" wrapText="1"/>
      <protection/>
    </xf>
    <xf numFmtId="0" fontId="0" fillId="0" borderId="0" xfId="0" applyAlignment="1">
      <alignment vertical="center"/>
    </xf>
    <xf numFmtId="0" fontId="128" fillId="0" borderId="0" xfId="188" applyFont="1" applyAlignment="1" applyProtection="1">
      <alignment horizontal="left" vertical="center" wrapText="1"/>
      <protection/>
    </xf>
    <xf numFmtId="0" fontId="129" fillId="0" borderId="0" xfId="188" applyFont="1" applyFill="1" applyAlignment="1" applyProtection="1">
      <alignment horizontal="left" vertical="center" wrapText="1"/>
      <protection/>
    </xf>
    <xf numFmtId="0" fontId="128" fillId="0" borderId="0" xfId="188" applyFont="1" applyFill="1" applyAlignment="1" applyProtection="1">
      <alignment horizontal="left" vertical="center" wrapText="1"/>
      <protection/>
    </xf>
    <xf numFmtId="49" fontId="6" fillId="41" borderId="5" xfId="0" applyNumberFormat="1" applyFont="1" applyFill="1" applyBorder="1" applyAlignment="1">
      <alignment horizontal="center" vertical="center"/>
    </xf>
    <xf numFmtId="0" fontId="28" fillId="41" borderId="5" xfId="0" applyFont="1" applyFill="1" applyBorder="1" applyAlignment="1">
      <alignment horizontal="center" vertical="center"/>
    </xf>
    <xf numFmtId="49" fontId="39" fillId="0" borderId="26" xfId="176" applyNumberFormat="1" applyFont="1" applyBorder="1" applyAlignment="1">
      <alignment horizontal="center" vertical="center"/>
      <protection/>
    </xf>
    <xf numFmtId="172" fontId="39" fillId="0" borderId="26" xfId="176" applyNumberFormat="1" applyFont="1" applyBorder="1" applyAlignment="1">
      <alignment horizontal="right" vertical="center"/>
      <protection/>
    </xf>
    <xf numFmtId="49" fontId="32" fillId="0" borderId="0" xfId="176" applyNumberFormat="1" applyFont="1" applyAlignment="1">
      <alignment horizontal="center"/>
      <protection/>
    </xf>
    <xf numFmtId="172" fontId="39" fillId="0" borderId="26" xfId="176" applyNumberFormat="1" applyFont="1" applyBorder="1" applyAlignment="1">
      <alignment horizontal="right" vertical="top"/>
      <protection/>
    </xf>
    <xf numFmtId="49" fontId="39" fillId="0" borderId="26" xfId="176" applyNumberFormat="1" applyFont="1" applyBorder="1" applyAlignment="1">
      <alignment horizontal="center" vertical="top"/>
      <protection/>
    </xf>
    <xf numFmtId="174" fontId="39" fillId="0" borderId="26" xfId="176" applyNumberFormat="1" applyFont="1" applyBorder="1" applyAlignment="1">
      <alignment horizontal="right" vertical="top"/>
      <protection/>
    </xf>
    <xf numFmtId="175" fontId="39" fillId="0" borderId="26" xfId="176" applyNumberFormat="1" applyFont="1" applyBorder="1" applyAlignment="1">
      <alignment horizontal="right" vertical="top"/>
      <protection/>
    </xf>
    <xf numFmtId="172" fontId="33" fillId="0" borderId="0" xfId="176" applyNumberFormat="1" applyFont="1" applyAlignment="1">
      <alignment/>
      <protection/>
    </xf>
    <xf numFmtId="49" fontId="33" fillId="0" borderId="0" xfId="176" applyNumberFormat="1" applyFont="1" applyAlignment="1">
      <alignment horizontal="center"/>
      <protection/>
    </xf>
    <xf numFmtId="0" fontId="33" fillId="0" borderId="0" xfId="176" applyNumberFormat="1" applyFont="1" applyAlignment="1">
      <alignment horizontal="left"/>
      <protection/>
    </xf>
    <xf numFmtId="174" fontId="33" fillId="0" borderId="0" xfId="176" applyNumberFormat="1" applyFont="1" applyAlignment="1">
      <alignment/>
      <protection/>
    </xf>
    <xf numFmtId="175" fontId="33" fillId="0" borderId="0" xfId="176" applyNumberFormat="1" applyFont="1" applyAlignment="1">
      <alignment/>
      <protection/>
    </xf>
    <xf numFmtId="172" fontId="32" fillId="0" borderId="0" xfId="176" applyNumberFormat="1" applyFont="1" applyAlignment="1">
      <alignment/>
      <protection/>
    </xf>
    <xf numFmtId="0" fontId="32" fillId="0" borderId="0" xfId="176" applyNumberFormat="1" applyFont="1" applyAlignment="1">
      <alignment horizontal="left"/>
      <protection/>
    </xf>
    <xf numFmtId="174" fontId="32" fillId="0" borderId="0" xfId="176" applyNumberFormat="1" applyFont="1" applyAlignment="1">
      <alignment/>
      <protection/>
    </xf>
    <xf numFmtId="175" fontId="32" fillId="0" borderId="0" xfId="176" applyNumberFormat="1" applyFont="1" applyAlignment="1">
      <alignment/>
      <protection/>
    </xf>
    <xf numFmtId="0" fontId="39" fillId="0" borderId="26" xfId="176" applyNumberFormat="1" applyFont="1" applyBorder="1" applyAlignment="1">
      <alignment horizontal="left" vertical="top" wrapText="1"/>
      <protection/>
    </xf>
    <xf numFmtId="176" fontId="39" fillId="0" borderId="26" xfId="176" applyNumberFormat="1" applyFont="1" applyBorder="1" applyAlignment="1">
      <alignment horizontal="right" vertical="top"/>
      <protection/>
    </xf>
    <xf numFmtId="177" fontId="39" fillId="0" borderId="26" xfId="176" applyNumberFormat="1" applyFont="1" applyBorder="1" applyAlignment="1">
      <alignment horizontal="right" vertical="top"/>
      <protection/>
    </xf>
    <xf numFmtId="172" fontId="38" fillId="0" borderId="0" xfId="176" applyNumberFormat="1" applyFont="1" applyAlignment="1">
      <alignment horizontal="left" vertical="top" wrapText="1"/>
      <protection/>
    </xf>
    <xf numFmtId="49" fontId="38" fillId="0" borderId="0" xfId="176" applyNumberFormat="1" applyFont="1" applyAlignment="1">
      <alignment horizontal="left" vertical="top" wrapText="1"/>
      <protection/>
    </xf>
    <xf numFmtId="0" fontId="38" fillId="0" borderId="0" xfId="176" applyNumberFormat="1" applyFont="1" applyAlignment="1">
      <alignment horizontal="left" vertical="top" wrapText="1"/>
      <protection/>
    </xf>
    <xf numFmtId="174" fontId="38" fillId="0" borderId="0" xfId="176" applyNumberFormat="1" applyFont="1" applyAlignment="1">
      <alignment horizontal="left" vertical="top" wrapText="1"/>
      <protection/>
    </xf>
    <xf numFmtId="0" fontId="33" fillId="0" borderId="0" xfId="176" applyNumberFormat="1" applyFont="1" applyAlignment="1">
      <alignment horizontal="center"/>
      <protection/>
    </xf>
    <xf numFmtId="0" fontId="32" fillId="0" borderId="0" xfId="176" applyNumberFormat="1" applyFont="1" applyAlignment="1">
      <alignment horizontal="center"/>
      <protection/>
    </xf>
    <xf numFmtId="49" fontId="38" fillId="0" borderId="0" xfId="176" applyNumberFormat="1" applyFont="1" applyAlignment="1">
      <alignment horizontal="center" vertical="top" wrapText="1"/>
      <protection/>
    </xf>
    <xf numFmtId="0" fontId="39" fillId="0" borderId="26" xfId="176" applyNumberFormat="1" applyFont="1" applyBorder="1" applyAlignment="1">
      <alignment horizontal="left" vertical="center" wrapText="1"/>
      <protection/>
    </xf>
    <xf numFmtId="174" fontId="39" fillId="0" borderId="26" xfId="176" applyNumberFormat="1" applyFont="1" applyBorder="1" applyAlignment="1">
      <alignment horizontal="right" vertical="center"/>
      <protection/>
    </xf>
    <xf numFmtId="175" fontId="39" fillId="0" borderId="26" xfId="176" applyNumberFormat="1" applyFont="1" applyBorder="1" applyAlignment="1">
      <alignment horizontal="right" vertical="center"/>
      <protection/>
    </xf>
    <xf numFmtId="176" fontId="39" fillId="0" borderId="26" xfId="176" applyNumberFormat="1" applyFont="1" applyBorder="1" applyAlignment="1">
      <alignment horizontal="right" vertical="center"/>
      <protection/>
    </xf>
    <xf numFmtId="177" fontId="39" fillId="0" borderId="26" xfId="176" applyNumberFormat="1" applyFont="1" applyBorder="1" applyAlignment="1">
      <alignment horizontal="right" vertical="center"/>
      <protection/>
    </xf>
    <xf numFmtId="44" fontId="41" fillId="5" borderId="0" xfId="112" applyFont="1" applyFill="1" applyAlignment="1">
      <alignment horizontal="left" vertical="center"/>
    </xf>
    <xf numFmtId="0" fontId="32" fillId="0" borderId="0" xfId="0" applyNumberFormat="1" applyFont="1" applyAlignment="1">
      <alignment horizontal="left"/>
    </xf>
    <xf numFmtId="49" fontId="1" fillId="13" borderId="0" xfId="0" applyNumberFormat="1" applyFont="1" applyFill="1" applyAlignment="1">
      <alignment horizontal="left" vertical="center"/>
    </xf>
    <xf numFmtId="49" fontId="1" fillId="13" borderId="0" xfId="0" applyNumberFormat="1" applyFont="1" applyFill="1" applyAlignment="1">
      <alignment horizontal="center" vertical="center"/>
    </xf>
    <xf numFmtId="49" fontId="128" fillId="13" borderId="0" xfId="0" applyNumberFormat="1" applyFont="1" applyFill="1" applyAlignment="1">
      <alignment horizontal="left" vertical="center"/>
    </xf>
    <xf numFmtId="49" fontId="130" fillId="13" borderId="0" xfId="0" applyNumberFormat="1" applyFont="1" applyFill="1" applyAlignment="1">
      <alignment horizontal="left" vertical="center"/>
    </xf>
    <xf numFmtId="49" fontId="2" fillId="13" borderId="0" xfId="0" applyNumberFormat="1" applyFont="1" applyFill="1" applyAlignment="1">
      <alignment horizontal="right" vertical="center"/>
    </xf>
    <xf numFmtId="49" fontId="5" fillId="13" borderId="0" xfId="0" applyNumberFormat="1" applyFont="1" applyFill="1" applyAlignment="1">
      <alignment horizontal="left" vertical="center"/>
    </xf>
    <xf numFmtId="4" fontId="26" fillId="13" borderId="0" xfId="0" applyNumberFormat="1" applyFont="1" applyFill="1" applyAlignment="1">
      <alignment horizontal="left" vertical="center"/>
    </xf>
    <xf numFmtId="49" fontId="27" fillId="13" borderId="0" xfId="0" applyNumberFormat="1" applyFont="1" applyFill="1" applyAlignment="1">
      <alignment vertical="center"/>
    </xf>
    <xf numFmtId="0" fontId="0" fillId="0" borderId="27" xfId="245" applyBorder="1">
      <alignment/>
      <protection/>
    </xf>
    <xf numFmtId="49" fontId="28" fillId="13" borderId="5" xfId="0" applyNumberFormat="1" applyFont="1" applyFill="1" applyBorder="1" applyAlignment="1">
      <alignment horizontal="center" vertical="center"/>
    </xf>
    <xf numFmtId="49" fontId="28" fillId="13" borderId="5" xfId="0" applyNumberFormat="1" applyFont="1" applyFill="1" applyBorder="1" applyAlignment="1">
      <alignment horizontal="left" vertical="center"/>
    </xf>
    <xf numFmtId="0" fontId="0" fillId="0" borderId="26" xfId="245" applyBorder="1" applyAlignment="1">
      <alignment horizontal="center"/>
      <protection/>
    </xf>
    <xf numFmtId="172" fontId="39" fillId="0" borderId="26" xfId="0" applyNumberFormat="1" applyFont="1" applyBorder="1" applyAlignment="1">
      <alignment horizontal="right" vertical="top"/>
    </xf>
    <xf numFmtId="49" fontId="39" fillId="0" borderId="26" xfId="0" applyNumberFormat="1" applyFont="1" applyBorder="1" applyAlignment="1">
      <alignment horizontal="center" vertical="top"/>
    </xf>
    <xf numFmtId="175" fontId="39" fillId="0" borderId="26" xfId="0" applyNumberFormat="1" applyFont="1" applyBorder="1" applyAlignment="1">
      <alignment horizontal="right" vertical="top"/>
    </xf>
    <xf numFmtId="176" fontId="39" fillId="0" borderId="26" xfId="0" applyNumberFormat="1" applyFont="1" applyBorder="1" applyAlignment="1">
      <alignment horizontal="right" vertical="top"/>
    </xf>
    <xf numFmtId="177" fontId="39" fillId="0" borderId="26" xfId="0" applyNumberFormat="1" applyFont="1" applyBorder="1" applyAlignment="1">
      <alignment horizontal="right" vertical="top"/>
    </xf>
    <xf numFmtId="172" fontId="38" fillId="0" borderId="0" xfId="0" applyNumberFormat="1" applyFont="1" applyAlignment="1">
      <alignment horizontal="left" vertical="top" wrapText="1"/>
    </xf>
    <xf numFmtId="49" fontId="38" fillId="0" borderId="0" xfId="0" applyNumberFormat="1" applyFont="1" applyAlignment="1">
      <alignment horizontal="left" vertical="top" wrapText="1"/>
    </xf>
    <xf numFmtId="174" fontId="38" fillId="0" borderId="0" xfId="0" applyNumberFormat="1" applyFont="1" applyAlignment="1">
      <alignment horizontal="left" vertical="top" wrapText="1"/>
    </xf>
    <xf numFmtId="175" fontId="38" fillId="0" borderId="0" xfId="0" applyNumberFormat="1" applyFont="1" applyAlignment="1">
      <alignment horizontal="left" vertical="top" wrapText="1"/>
    </xf>
    <xf numFmtId="176" fontId="38" fillId="0" borderId="0" xfId="0" applyNumberFormat="1" applyFont="1" applyAlignment="1">
      <alignment horizontal="left" vertical="top" wrapText="1"/>
    </xf>
    <xf numFmtId="49" fontId="32" fillId="0" borderId="0" xfId="0" applyNumberFormat="1" applyFont="1" applyAlignment="1">
      <alignment horizontal="center"/>
    </xf>
    <xf numFmtId="174" fontId="32" fillId="0" borderId="0" xfId="0" applyNumberFormat="1" applyFont="1" applyAlignment="1">
      <alignment/>
    </xf>
    <xf numFmtId="4" fontId="26" fillId="5" borderId="0" xfId="112" applyNumberFormat="1" applyFont="1" applyFill="1" applyAlignment="1">
      <alignment horizontal="left" vertical="center"/>
    </xf>
    <xf numFmtId="4" fontId="2" fillId="5" borderId="0" xfId="0" applyNumberFormat="1" applyFont="1" applyFill="1" applyAlignment="1">
      <alignment horizontal="right" vertical="center"/>
    </xf>
    <xf numFmtId="4" fontId="6" fillId="41" borderId="5" xfId="0" applyNumberFormat="1" applyFont="1" applyFill="1" applyBorder="1" applyAlignment="1">
      <alignment horizontal="center" vertical="center"/>
    </xf>
    <xf numFmtId="4" fontId="33" fillId="0" borderId="0" xfId="176" applyNumberFormat="1" applyFont="1" applyFill="1" applyBorder="1" applyAlignment="1">
      <alignment/>
      <protection/>
    </xf>
    <xf numFmtId="4" fontId="32" fillId="0" borderId="0" xfId="176" applyNumberFormat="1" applyFont="1" applyFill="1" applyBorder="1" applyAlignment="1">
      <alignment/>
      <protection/>
    </xf>
    <xf numFmtId="4" fontId="40" fillId="0" borderId="26" xfId="176" applyNumberFormat="1" applyFont="1" applyFill="1" applyBorder="1" applyAlignment="1">
      <alignment horizontal="right" vertical="top"/>
      <protection/>
    </xf>
    <xf numFmtId="4" fontId="38" fillId="0" borderId="0" xfId="176" applyNumberFormat="1" applyFont="1" applyFill="1" applyBorder="1" applyAlignment="1">
      <alignment horizontal="right" vertical="top"/>
      <protection/>
    </xf>
    <xf numFmtId="4" fontId="40" fillId="0" borderId="26" xfId="176" applyNumberFormat="1" applyFont="1" applyFill="1" applyBorder="1" applyAlignment="1">
      <alignment horizontal="right" vertical="center"/>
      <protection/>
    </xf>
    <xf numFmtId="4" fontId="32" fillId="0" borderId="0" xfId="0" applyNumberFormat="1" applyFont="1" applyFill="1" applyBorder="1" applyAlignment="1">
      <alignment horizontal="center" vertical="center"/>
    </xf>
    <xf numFmtId="4" fontId="4" fillId="0" borderId="15" xfId="0" applyNumberFormat="1" applyFont="1" applyFill="1" applyBorder="1" applyAlignment="1">
      <alignment horizontal="right" vertical="center"/>
    </xf>
    <xf numFmtId="4" fontId="28" fillId="41" borderId="19" xfId="0" applyNumberFormat="1" applyFont="1" applyFill="1" applyBorder="1" applyAlignment="1">
      <alignment horizontal="center" vertical="center"/>
    </xf>
    <xf numFmtId="4" fontId="28" fillId="41" borderId="20" xfId="0" applyNumberFormat="1" applyFont="1" applyFill="1" applyBorder="1" applyAlignment="1">
      <alignment horizontal="center" vertical="center"/>
    </xf>
    <xf numFmtId="4" fontId="4" fillId="0" borderId="18" xfId="0" applyNumberFormat="1" applyFont="1" applyBorder="1" applyAlignment="1">
      <alignment horizontal="right" vertical="center"/>
    </xf>
    <xf numFmtId="4" fontId="0" fillId="0" borderId="0" xfId="0" applyNumberFormat="1" applyAlignment="1">
      <alignment/>
    </xf>
    <xf numFmtId="4" fontId="6" fillId="0" borderId="0" xfId="0" applyNumberFormat="1" applyFont="1" applyBorder="1" applyAlignment="1">
      <alignment horizontal="right" vertical="center"/>
    </xf>
    <xf numFmtId="4" fontId="13" fillId="0" borderId="0" xfId="0" applyNumberFormat="1" applyFont="1" applyAlignment="1">
      <alignment/>
    </xf>
    <xf numFmtId="4" fontId="13" fillId="0" borderId="0" xfId="0" applyNumberFormat="1" applyFont="1" applyAlignment="1">
      <alignment/>
    </xf>
    <xf numFmtId="4" fontId="4" fillId="5" borderId="0" xfId="0" applyNumberFormat="1" applyFont="1" applyFill="1" applyAlignment="1">
      <alignment horizontal="left" vertical="center"/>
    </xf>
    <xf numFmtId="0" fontId="17" fillId="0" borderId="26" xfId="0" applyFont="1" applyFill="1" applyBorder="1" applyAlignment="1" applyProtection="1">
      <alignment wrapText="1"/>
      <protection hidden="1"/>
    </xf>
    <xf numFmtId="0" fontId="11" fillId="0" borderId="26" xfId="0" applyFont="1" applyFill="1" applyBorder="1" applyAlignment="1" applyProtection="1">
      <alignment wrapText="1"/>
      <protection hidden="1"/>
    </xf>
    <xf numFmtId="167" fontId="0" fillId="0" borderId="26" xfId="0" applyNumberFormat="1" applyFont="1" applyFill="1" applyBorder="1" applyAlignment="1" applyProtection="1">
      <alignment horizontal="center"/>
      <protection hidden="1"/>
    </xf>
    <xf numFmtId="4" fontId="11" fillId="0" borderId="26" xfId="0" applyNumberFormat="1" applyFont="1" applyFill="1" applyBorder="1" applyAlignment="1" applyProtection="1">
      <alignment/>
      <protection hidden="1"/>
    </xf>
    <xf numFmtId="0" fontId="11" fillId="0" borderId="26" xfId="0" applyFont="1" applyFill="1" applyBorder="1" applyAlignment="1" applyProtection="1">
      <alignment horizontal="center"/>
      <protection hidden="1"/>
    </xf>
    <xf numFmtId="167" fontId="11" fillId="0" borderId="26" xfId="0" applyNumberFormat="1" applyFont="1" applyFill="1" applyBorder="1" applyAlignment="1" applyProtection="1">
      <alignment horizontal="center"/>
      <protection hidden="1"/>
    </xf>
    <xf numFmtId="0" fontId="0" fillId="0" borderId="27" xfId="0" applyFont="1" applyFill="1" applyBorder="1" applyAlignment="1" applyProtection="1">
      <alignment wrapText="1"/>
      <protection hidden="1"/>
    </xf>
    <xf numFmtId="0" fontId="17" fillId="0" borderId="27" xfId="0" applyFont="1" applyFill="1" applyBorder="1" applyAlignment="1" applyProtection="1">
      <alignment wrapText="1"/>
      <protection hidden="1"/>
    </xf>
    <xf numFmtId="0" fontId="0" fillId="0" borderId="27" xfId="0" applyFont="1" applyFill="1" applyBorder="1" applyAlignment="1" applyProtection="1">
      <alignment/>
      <protection hidden="1"/>
    </xf>
    <xf numFmtId="0" fontId="31" fillId="0" borderId="26" xfId="0" applyFont="1" applyFill="1" applyBorder="1" applyAlignment="1" applyProtection="1">
      <alignment horizontal="center" vertical="center" wrapText="1"/>
      <protection hidden="1"/>
    </xf>
    <xf numFmtId="0" fontId="31" fillId="0" borderId="26"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protection hidden="1"/>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 fontId="4" fillId="0" borderId="29" xfId="0" applyNumberFormat="1" applyFont="1" applyBorder="1" applyAlignment="1">
      <alignment horizontal="right" vertical="center"/>
    </xf>
    <xf numFmtId="4" fontId="4" fillId="0" borderId="28" xfId="0" applyNumberFormat="1" applyFont="1" applyBorder="1" applyAlignment="1">
      <alignment horizontal="right" vertical="center"/>
    </xf>
    <xf numFmtId="49" fontId="4" fillId="0" borderId="0" xfId="0" applyNumberFormat="1" applyFont="1" applyBorder="1" applyAlignment="1">
      <alignment horizontal="center" vertical="center"/>
    </xf>
    <xf numFmtId="4" fontId="4" fillId="0" borderId="0" xfId="0" applyNumberFormat="1" applyFont="1" applyBorder="1" applyAlignment="1">
      <alignment horizontal="right" vertical="center"/>
    </xf>
    <xf numFmtId="49" fontId="4" fillId="0" borderId="5" xfId="0" applyNumberFormat="1" applyFont="1" applyBorder="1" applyAlignment="1">
      <alignment horizontal="center" vertical="center"/>
    </xf>
    <xf numFmtId="49" fontId="4" fillId="0" borderId="5" xfId="0" applyNumberFormat="1" applyFont="1" applyBorder="1" applyAlignment="1">
      <alignment horizontal="left" vertical="center"/>
    </xf>
    <xf numFmtId="4" fontId="4" fillId="0" borderId="5" xfId="0" applyNumberFormat="1" applyFont="1" applyBorder="1" applyAlignment="1">
      <alignment horizontal="right" vertical="center"/>
    </xf>
    <xf numFmtId="49" fontId="127" fillId="0" borderId="0" xfId="0" applyNumberFormat="1" applyFont="1" applyBorder="1" applyAlignment="1">
      <alignment horizontal="lef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38" fillId="0" borderId="0" xfId="176" applyNumberFormat="1" applyFont="1" applyFill="1" applyAlignment="1">
      <alignment horizontal="left" vertical="top" wrapText="1"/>
      <protection/>
    </xf>
    <xf numFmtId="0" fontId="0" fillId="0" borderId="0" xfId="0" applyFont="1" applyAlignment="1">
      <alignment/>
    </xf>
    <xf numFmtId="0" fontId="28" fillId="0" borderId="5" xfId="178" applyFont="1" applyBorder="1" applyAlignment="1">
      <alignment vertical="center" wrapText="1"/>
      <protection locked="0"/>
    </xf>
    <xf numFmtId="3" fontId="28" fillId="41" borderId="23" xfId="0" applyNumberFormat="1" applyFont="1" applyFill="1" applyBorder="1" applyAlignment="1">
      <alignment horizontal="center" vertical="center"/>
    </xf>
    <xf numFmtId="3" fontId="28" fillId="41" borderId="22"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101" fillId="0" borderId="0" xfId="0" applyFont="1" applyFill="1" applyAlignment="1">
      <alignment/>
    </xf>
    <xf numFmtId="0" fontId="0" fillId="0" borderId="0" xfId="0" applyFill="1" applyAlignment="1">
      <alignment/>
    </xf>
    <xf numFmtId="172" fontId="39" fillId="0" borderId="26" xfId="176" applyNumberFormat="1" applyFont="1" applyFill="1" applyBorder="1" applyAlignment="1">
      <alignment horizontal="right" vertical="top"/>
      <protection/>
    </xf>
    <xf numFmtId="49" fontId="39" fillId="0" borderId="26" xfId="176" applyNumberFormat="1" applyFont="1" applyFill="1" applyBorder="1" applyAlignment="1">
      <alignment horizontal="center" vertical="top"/>
      <protection/>
    </xf>
    <xf numFmtId="0" fontId="39" fillId="0" borderId="26" xfId="176" applyNumberFormat="1" applyFont="1" applyFill="1" applyBorder="1" applyAlignment="1">
      <alignment horizontal="left" vertical="top" wrapText="1"/>
      <protection/>
    </xf>
    <xf numFmtId="174" fontId="39" fillId="0" borderId="26" xfId="176" applyNumberFormat="1" applyFont="1" applyFill="1" applyBorder="1" applyAlignment="1">
      <alignment horizontal="right" vertical="top"/>
      <protection/>
    </xf>
    <xf numFmtId="175" fontId="39" fillId="0" borderId="26" xfId="176" applyNumberFormat="1" applyFont="1" applyFill="1" applyBorder="1" applyAlignment="1">
      <alignment horizontal="right" vertical="top"/>
      <protection/>
    </xf>
    <xf numFmtId="176" fontId="39" fillId="0" borderId="26" xfId="176" applyNumberFormat="1" applyFont="1" applyFill="1" applyBorder="1" applyAlignment="1">
      <alignment horizontal="right" vertical="top"/>
      <protection/>
    </xf>
    <xf numFmtId="177" fontId="39" fillId="0" borderId="26" xfId="176" applyNumberFormat="1" applyFont="1" applyFill="1" applyBorder="1" applyAlignment="1">
      <alignment horizontal="right" vertical="top"/>
      <protection/>
    </xf>
    <xf numFmtId="49" fontId="38" fillId="0" borderId="0" xfId="176" applyNumberFormat="1" applyFont="1" applyFill="1" applyAlignment="1">
      <alignment horizontal="center" vertical="top" wrapText="1"/>
      <protection/>
    </xf>
    <xf numFmtId="49" fontId="38" fillId="0" borderId="0" xfId="176" applyNumberFormat="1" applyFont="1" applyFill="1" applyAlignment="1">
      <alignment horizontal="left" vertical="top" wrapText="1"/>
      <protection/>
    </xf>
    <xf numFmtId="174" fontId="38" fillId="0" borderId="0" xfId="176" applyNumberFormat="1" applyFont="1" applyFill="1" applyAlignment="1">
      <alignment horizontal="left" vertical="top" wrapText="1"/>
      <protection/>
    </xf>
    <xf numFmtId="172" fontId="38" fillId="0" borderId="0" xfId="176" applyNumberFormat="1" applyFont="1" applyFill="1" applyAlignment="1">
      <alignment horizontal="left" vertical="top" wrapText="1"/>
      <protection/>
    </xf>
    <xf numFmtId="172" fontId="32" fillId="0" borderId="0" xfId="176" applyNumberFormat="1" applyFont="1" applyFill="1" applyAlignment="1">
      <alignment/>
      <protection/>
    </xf>
    <xf numFmtId="0" fontId="32" fillId="0" borderId="0" xfId="176" applyNumberFormat="1" applyFont="1" applyFill="1" applyAlignment="1">
      <alignment horizontal="center"/>
      <protection/>
    </xf>
    <xf numFmtId="49" fontId="32" fillId="0" borderId="0" xfId="176" applyNumberFormat="1" applyFont="1" applyFill="1" applyAlignment="1">
      <alignment horizontal="center"/>
      <protection/>
    </xf>
    <xf numFmtId="174" fontId="32" fillId="0" borderId="0" xfId="176" applyNumberFormat="1" applyFont="1" applyFill="1" applyAlignment="1">
      <alignment/>
      <protection/>
    </xf>
    <xf numFmtId="175" fontId="32" fillId="0" borderId="0" xfId="176" applyNumberFormat="1" applyFont="1" applyFill="1" applyAlignment="1">
      <alignment/>
      <protection/>
    </xf>
    <xf numFmtId="0" fontId="0" fillId="0" borderId="0" xfId="0" applyFill="1" applyAlignment="1">
      <alignment horizontal="center"/>
    </xf>
    <xf numFmtId="167" fontId="0" fillId="0" borderId="0" xfId="0" applyNumberFormat="1" applyFill="1" applyAlignment="1">
      <alignment/>
    </xf>
    <xf numFmtId="176" fontId="39" fillId="0" borderId="26" xfId="176" applyNumberFormat="1" applyFont="1" applyFill="1" applyBorder="1" applyAlignment="1">
      <alignment horizontal="right" vertical="center"/>
      <protection/>
    </xf>
    <xf numFmtId="175" fontId="33" fillId="0" borderId="0" xfId="176" applyNumberFormat="1" applyFont="1" applyFill="1" applyAlignment="1">
      <alignment/>
      <protection/>
    </xf>
    <xf numFmtId="0" fontId="0" fillId="0" borderId="0" xfId="0" applyFont="1" applyFill="1" applyAlignment="1">
      <alignment/>
    </xf>
    <xf numFmtId="0" fontId="0" fillId="0" borderId="0" xfId="0" applyFont="1" applyFill="1" applyAlignment="1">
      <alignment/>
    </xf>
    <xf numFmtId="174" fontId="38" fillId="0" borderId="0" xfId="0" applyNumberFormat="1" applyFont="1" applyFill="1" applyAlignment="1">
      <alignment horizontal="left" vertical="top" wrapText="1"/>
    </xf>
    <xf numFmtId="177" fontId="39" fillId="0" borderId="26" xfId="176" applyNumberFormat="1" applyFont="1" applyFill="1" applyBorder="1" applyAlignment="1">
      <alignment horizontal="right" vertical="center"/>
      <protection/>
    </xf>
    <xf numFmtId="175" fontId="32" fillId="0" borderId="0" xfId="0" applyNumberFormat="1" applyFont="1" applyFill="1" applyAlignment="1">
      <alignment/>
    </xf>
    <xf numFmtId="176" fontId="39" fillId="0" borderId="26" xfId="0" applyNumberFormat="1" applyFont="1" applyFill="1" applyBorder="1" applyAlignment="1">
      <alignment horizontal="right" vertical="top"/>
    </xf>
    <xf numFmtId="177" fontId="39" fillId="0" borderId="26" xfId="0" applyNumberFormat="1" applyFont="1" applyFill="1" applyBorder="1" applyAlignment="1">
      <alignment horizontal="right" vertical="top"/>
    </xf>
    <xf numFmtId="49" fontId="1" fillId="5" borderId="0" xfId="0" applyNumberFormat="1" applyFont="1" applyFill="1" applyAlignment="1">
      <alignment vertical="center"/>
    </xf>
    <xf numFmtId="172" fontId="11" fillId="0" borderId="0" xfId="0" applyNumberFormat="1" applyFont="1" applyAlignment="1">
      <alignment horizontal="left" indent="3"/>
    </xf>
    <xf numFmtId="0" fontId="0" fillId="0" borderId="26" xfId="245" applyFill="1" applyBorder="1" applyAlignment="1">
      <alignment horizontal="center"/>
      <protection/>
    </xf>
    <xf numFmtId="0" fontId="11" fillId="0" borderId="26" xfId="0" applyFont="1" applyFill="1" applyBorder="1" applyAlignment="1" applyProtection="1">
      <alignment vertical="center" wrapText="1"/>
      <protection hidden="1"/>
    </xf>
    <xf numFmtId="0" fontId="0" fillId="0" borderId="0" xfId="0" applyFont="1" applyFill="1" applyAlignment="1">
      <alignment/>
    </xf>
    <xf numFmtId="0" fontId="0" fillId="7" borderId="26" xfId="245" applyFill="1" applyBorder="1" applyAlignment="1">
      <alignment horizontal="center"/>
      <protection/>
    </xf>
    <xf numFmtId="0" fontId="0" fillId="7" borderId="27" xfId="0" applyFont="1" applyFill="1" applyBorder="1" applyAlignment="1" applyProtection="1">
      <alignment wrapText="1"/>
      <protection hidden="1"/>
    </xf>
    <xf numFmtId="0" fontId="17" fillId="7" borderId="27" xfId="0" applyFont="1" applyFill="1" applyBorder="1" applyAlignment="1" applyProtection="1">
      <alignment wrapText="1"/>
      <protection hidden="1"/>
    </xf>
    <xf numFmtId="0" fontId="0" fillId="7" borderId="27" xfId="0" applyFont="1" applyFill="1" applyBorder="1" applyAlignment="1" applyProtection="1">
      <alignment/>
      <protection hidden="1"/>
    </xf>
    <xf numFmtId="4" fontId="9" fillId="7" borderId="27" xfId="0" applyNumberFormat="1" applyFont="1" applyFill="1" applyBorder="1" applyAlignment="1" applyProtection="1">
      <alignment wrapText="1"/>
      <protection hidden="1"/>
    </xf>
    <xf numFmtId="0" fontId="31" fillId="0" borderId="26" xfId="176" applyNumberFormat="1" applyFont="1" applyFill="1" applyBorder="1" applyAlignment="1">
      <alignment horizontal="left" vertical="top" wrapText="1"/>
      <protection/>
    </xf>
    <xf numFmtId="3" fontId="28" fillId="41" borderId="5" xfId="0" applyNumberFormat="1" applyFont="1" applyFill="1" applyBorder="1" applyAlignment="1">
      <alignment horizontal="center" vertical="center"/>
    </xf>
    <xf numFmtId="0" fontId="27" fillId="0" borderId="0" xfId="0" applyFont="1" applyBorder="1" applyAlignment="1">
      <alignment horizontal="left"/>
    </xf>
    <xf numFmtId="175" fontId="27" fillId="0" borderId="0" xfId="0" applyNumberFormat="1" applyFont="1" applyBorder="1" applyAlignment="1">
      <alignment/>
    </xf>
    <xf numFmtId="175" fontId="33" fillId="0" borderId="0" xfId="0" applyNumberFormat="1" applyFont="1" applyFill="1" applyAlignment="1">
      <alignment/>
    </xf>
    <xf numFmtId="0" fontId="0" fillId="0" borderId="33" xfId="0" applyFont="1" applyBorder="1" applyAlignment="1" applyProtection="1">
      <alignment wrapText="1"/>
      <protection hidden="1"/>
    </xf>
    <xf numFmtId="0" fontId="0" fillId="0" borderId="33" xfId="0" applyFont="1" applyBorder="1" applyAlignment="1" applyProtection="1">
      <alignment/>
      <protection hidden="1"/>
    </xf>
    <xf numFmtId="4" fontId="0" fillId="0" borderId="33" xfId="0" applyNumberFormat="1" applyFont="1" applyBorder="1" applyAlignment="1" applyProtection="1">
      <alignment/>
      <protection locked="0"/>
    </xf>
    <xf numFmtId="0" fontId="0" fillId="0" borderId="33" xfId="0" applyFont="1" applyBorder="1" applyAlignment="1" applyProtection="1">
      <alignment/>
      <protection locked="0"/>
    </xf>
    <xf numFmtId="0" fontId="0" fillId="0" borderId="34" xfId="0" applyFont="1" applyBorder="1" applyAlignment="1" applyProtection="1">
      <alignment/>
      <protection locked="0"/>
    </xf>
    <xf numFmtId="0" fontId="0" fillId="0" borderId="35" xfId="0" applyFont="1" applyBorder="1" applyAlignment="1" applyProtection="1">
      <alignment/>
      <protection locked="0"/>
    </xf>
    <xf numFmtId="0" fontId="9" fillId="0" borderId="0" xfId="0" applyFont="1" applyBorder="1" applyAlignment="1">
      <alignment horizontal="center"/>
    </xf>
    <xf numFmtId="0" fontId="68" fillId="0" borderId="5" xfId="0" applyFont="1" applyFill="1" applyBorder="1" applyAlignment="1" applyProtection="1">
      <alignment wrapText="1"/>
      <protection hidden="1"/>
    </xf>
    <xf numFmtId="0" fontId="0" fillId="0" borderId="5" xfId="0" applyFont="1" applyFill="1" applyBorder="1" applyAlignment="1" applyProtection="1">
      <alignment/>
      <protection hidden="1"/>
    </xf>
    <xf numFmtId="4" fontId="0" fillId="0" borderId="5" xfId="0" applyNumberFormat="1" applyFont="1" applyFill="1" applyBorder="1" applyAlignment="1" applyProtection="1">
      <alignment/>
      <protection locked="0"/>
    </xf>
    <xf numFmtId="4" fontId="0" fillId="0" borderId="5" xfId="0" applyNumberFormat="1" applyFont="1" applyFill="1" applyBorder="1" applyAlignment="1" applyProtection="1">
      <alignment/>
      <protection locked="0"/>
    </xf>
    <xf numFmtId="4" fontId="0" fillId="0" borderId="30" xfId="0" applyNumberFormat="1" applyFont="1" applyFill="1" applyBorder="1" applyAlignment="1" applyProtection="1">
      <alignment/>
      <protection locked="0"/>
    </xf>
    <xf numFmtId="0" fontId="0" fillId="0" borderId="36" xfId="0" applyFont="1" applyFill="1" applyBorder="1" applyAlignment="1" applyProtection="1">
      <alignment/>
      <protection locked="0"/>
    </xf>
    <xf numFmtId="0" fontId="18" fillId="0" borderId="5" xfId="0" applyFont="1" applyFill="1" applyBorder="1" applyAlignment="1" applyProtection="1">
      <alignment wrapText="1"/>
      <protection hidden="1"/>
    </xf>
    <xf numFmtId="0" fontId="11" fillId="0" borderId="5" xfId="0" applyFont="1" applyFill="1" applyBorder="1" applyAlignment="1" applyProtection="1">
      <alignment horizontal="center"/>
      <protection hidden="1"/>
    </xf>
    <xf numFmtId="3" fontId="11" fillId="0" borderId="5" xfId="0" applyNumberFormat="1" applyFont="1" applyFill="1" applyBorder="1" applyAlignment="1" applyProtection="1">
      <alignment/>
      <protection hidden="1"/>
    </xf>
    <xf numFmtId="4" fontId="11" fillId="0" borderId="5" xfId="0" applyNumberFormat="1" applyFont="1" applyFill="1" applyBorder="1" applyAlignment="1" applyProtection="1">
      <alignment/>
      <protection locked="0"/>
    </xf>
    <xf numFmtId="3" fontId="11" fillId="0" borderId="36" xfId="0" applyNumberFormat="1" applyFont="1" applyFill="1" applyBorder="1" applyAlignment="1" applyProtection="1">
      <alignment/>
      <protection locked="0"/>
    </xf>
    <xf numFmtId="0" fontId="17" fillId="0" borderId="5" xfId="0" applyFont="1" applyFill="1" applyBorder="1" applyAlignment="1" applyProtection="1">
      <alignment wrapText="1"/>
      <protection hidden="1"/>
    </xf>
    <xf numFmtId="0" fontId="11" fillId="0" borderId="5" xfId="0" applyFont="1" applyFill="1" applyBorder="1" applyAlignment="1" applyProtection="1">
      <alignment wrapText="1"/>
      <protection hidden="1"/>
    </xf>
    <xf numFmtId="49" fontId="11" fillId="0" borderId="30" xfId="0" applyNumberFormat="1" applyFont="1" applyFill="1" applyBorder="1" applyAlignment="1" applyProtection="1">
      <alignment horizontal="center"/>
      <protection locked="0"/>
    </xf>
    <xf numFmtId="4" fontId="11" fillId="0" borderId="30" xfId="0" applyNumberFormat="1" applyFont="1" applyFill="1" applyBorder="1" applyAlignment="1" applyProtection="1">
      <alignment/>
      <protection locked="0"/>
    </xf>
    <xf numFmtId="4" fontId="11" fillId="0" borderId="36" xfId="0" applyNumberFormat="1" applyFont="1" applyFill="1" applyBorder="1" applyAlignment="1" applyProtection="1">
      <alignment/>
      <protection locked="0"/>
    </xf>
    <xf numFmtId="0" fontId="11" fillId="0" borderId="0" xfId="0" applyFont="1" applyBorder="1" applyAlignment="1">
      <alignment/>
    </xf>
    <xf numFmtId="0" fontId="69" fillId="0" borderId="5" xfId="0" applyFont="1" applyFill="1" applyBorder="1" applyAlignment="1" applyProtection="1">
      <alignment wrapText="1"/>
      <protection hidden="1"/>
    </xf>
    <xf numFmtId="4" fontId="70" fillId="0" borderId="5" xfId="0" applyNumberFormat="1" applyFont="1" applyFill="1" applyBorder="1" applyAlignment="1" applyProtection="1">
      <alignment/>
      <protection locked="0"/>
    </xf>
    <xf numFmtId="0" fontId="18" fillId="42" borderId="5" xfId="0" applyFont="1" applyFill="1" applyBorder="1" applyAlignment="1" applyProtection="1">
      <alignment wrapText="1"/>
      <protection hidden="1"/>
    </xf>
    <xf numFmtId="0" fontId="18" fillId="42" borderId="5" xfId="0" applyFont="1" applyFill="1" applyBorder="1" applyAlignment="1" applyProtection="1">
      <alignment horizontal="center"/>
      <protection hidden="1"/>
    </xf>
    <xf numFmtId="3" fontId="18" fillId="42" borderId="5" xfId="0" applyNumberFormat="1" applyFont="1" applyFill="1" applyBorder="1" applyAlignment="1" applyProtection="1">
      <alignment/>
      <protection hidden="1"/>
    </xf>
    <xf numFmtId="4" fontId="18" fillId="42" borderId="5" xfId="0" applyNumberFormat="1" applyFont="1" applyFill="1" applyBorder="1" applyAlignment="1" applyProtection="1">
      <alignment/>
      <protection locked="0"/>
    </xf>
    <xf numFmtId="4" fontId="10" fillId="42" borderId="5" xfId="0" applyNumberFormat="1" applyFont="1" applyFill="1" applyBorder="1" applyAlignment="1" applyProtection="1">
      <alignment/>
      <protection locked="0"/>
    </xf>
    <xf numFmtId="4" fontId="10" fillId="42" borderId="30" xfId="0" applyNumberFormat="1" applyFont="1" applyFill="1" applyBorder="1" applyAlignment="1" applyProtection="1">
      <alignment/>
      <protection locked="0"/>
    </xf>
    <xf numFmtId="4" fontId="18" fillId="42" borderId="36" xfId="0" applyNumberFormat="1" applyFont="1" applyFill="1" applyBorder="1" applyAlignment="1" applyProtection="1">
      <alignment/>
      <protection locked="0"/>
    </xf>
    <xf numFmtId="0" fontId="17" fillId="0" borderId="5" xfId="0" applyFont="1" applyFill="1" applyBorder="1" applyAlignment="1" applyProtection="1">
      <alignment wrapText="1"/>
      <protection hidden="1"/>
    </xf>
    <xf numFmtId="0" fontId="18" fillId="42" borderId="5" xfId="0" applyFont="1" applyFill="1" applyBorder="1" applyAlignment="1" applyProtection="1">
      <alignment wrapText="1"/>
      <protection hidden="1"/>
    </xf>
    <xf numFmtId="4" fontId="18" fillId="42" borderId="36" xfId="0" applyNumberFormat="1" applyFont="1" applyFill="1" applyBorder="1" applyAlignment="1" applyProtection="1">
      <alignment/>
      <protection locked="0"/>
    </xf>
    <xf numFmtId="0" fontId="18" fillId="0" borderId="5" xfId="0" applyFont="1" applyFill="1" applyBorder="1" applyAlignment="1" applyProtection="1">
      <alignment wrapText="1"/>
      <protection hidden="1"/>
    </xf>
    <xf numFmtId="0" fontId="18" fillId="0" borderId="5" xfId="0" applyFont="1" applyFill="1" applyBorder="1" applyAlignment="1" applyProtection="1">
      <alignment horizontal="center"/>
      <protection hidden="1"/>
    </xf>
    <xf numFmtId="3" fontId="18" fillId="0" borderId="5" xfId="0" applyNumberFormat="1" applyFont="1" applyFill="1" applyBorder="1" applyAlignment="1" applyProtection="1">
      <alignment/>
      <protection hidden="1"/>
    </xf>
    <xf numFmtId="4" fontId="18" fillId="0" borderId="5" xfId="0" applyNumberFormat="1" applyFont="1" applyFill="1" applyBorder="1" applyAlignment="1" applyProtection="1">
      <alignment/>
      <protection locked="0"/>
    </xf>
    <xf numFmtId="4" fontId="10" fillId="0" borderId="5" xfId="0" applyNumberFormat="1" applyFont="1" applyFill="1" applyBorder="1" applyAlignment="1" applyProtection="1">
      <alignment/>
      <protection locked="0"/>
    </xf>
    <xf numFmtId="4" fontId="10" fillId="0" borderId="30" xfId="0" applyNumberFormat="1" applyFont="1" applyFill="1" applyBorder="1" applyAlignment="1" applyProtection="1">
      <alignment/>
      <protection locked="0"/>
    </xf>
    <xf numFmtId="4" fontId="18" fillId="0" borderId="36" xfId="0" applyNumberFormat="1" applyFont="1" applyFill="1" applyBorder="1" applyAlignment="1" applyProtection="1">
      <alignment/>
      <protection locked="0"/>
    </xf>
    <xf numFmtId="0" fontId="11" fillId="0" borderId="37" xfId="0" applyFont="1" applyBorder="1" applyAlignment="1">
      <alignment/>
    </xf>
    <xf numFmtId="0" fontId="18" fillId="41" borderId="5" xfId="0" applyFont="1" applyFill="1" applyBorder="1" applyAlignment="1" applyProtection="1">
      <alignment wrapText="1"/>
      <protection hidden="1"/>
    </xf>
    <xf numFmtId="0" fontId="0" fillId="41" borderId="5" xfId="0" applyFont="1" applyFill="1" applyBorder="1" applyAlignment="1" applyProtection="1">
      <alignment/>
      <protection hidden="1"/>
    </xf>
    <xf numFmtId="171" fontId="10" fillId="41" borderId="5" xfId="0" applyNumberFormat="1" applyFont="1" applyFill="1" applyBorder="1" applyAlignment="1" applyProtection="1">
      <alignment/>
      <protection locked="0"/>
    </xf>
    <xf numFmtId="171" fontId="10" fillId="41" borderId="36" xfId="0" applyNumberFormat="1" applyFont="1" applyFill="1" applyBorder="1" applyAlignment="1" applyProtection="1">
      <alignment/>
      <protection locked="0"/>
    </xf>
    <xf numFmtId="0" fontId="0" fillId="0" borderId="0" xfId="0" applyFont="1" applyBorder="1" applyAlignment="1" applyProtection="1">
      <alignment wrapText="1"/>
      <protection hidden="1"/>
    </xf>
    <xf numFmtId="0" fontId="0" fillId="0" borderId="0" xfId="0" applyFont="1" applyBorder="1" applyAlignment="1" applyProtection="1">
      <alignment/>
      <protection hidden="1"/>
    </xf>
    <xf numFmtId="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14" fillId="0" borderId="26" xfId="176" applyNumberFormat="1" applyFont="1" applyFill="1" applyBorder="1" applyAlignment="1">
      <alignment horizontal="right" vertical="top"/>
      <protection/>
    </xf>
    <xf numFmtId="0" fontId="12" fillId="43" borderId="38" xfId="0" applyFont="1" applyFill="1" applyBorder="1" applyAlignment="1" applyProtection="1">
      <alignment wrapText="1"/>
      <protection hidden="1"/>
    </xf>
    <xf numFmtId="0" fontId="0" fillId="43" borderId="38" xfId="0" applyFont="1" applyFill="1" applyBorder="1" applyAlignment="1" applyProtection="1">
      <alignment/>
      <protection hidden="1"/>
    </xf>
    <xf numFmtId="4" fontId="0" fillId="43" borderId="38" xfId="0" applyNumberFormat="1" applyFont="1" applyFill="1" applyBorder="1" applyAlignment="1" applyProtection="1">
      <alignment/>
      <protection locked="0"/>
    </xf>
    <xf numFmtId="0" fontId="0" fillId="43" borderId="38" xfId="0" applyFont="1" applyFill="1" applyBorder="1" applyAlignment="1" applyProtection="1">
      <alignment/>
      <protection locked="0"/>
    </xf>
    <xf numFmtId="0" fontId="0" fillId="43" borderId="39" xfId="0" applyFont="1" applyFill="1" applyBorder="1" applyAlignment="1" applyProtection="1">
      <alignment/>
      <protection locked="0"/>
    </xf>
    <xf numFmtId="0" fontId="0" fillId="43" borderId="40" xfId="0" applyFont="1" applyFill="1" applyBorder="1" applyAlignment="1" applyProtection="1">
      <alignment/>
      <protection locked="0"/>
    </xf>
    <xf numFmtId="0" fontId="0" fillId="0" borderId="41" xfId="0" applyFont="1" applyBorder="1" applyAlignment="1" applyProtection="1">
      <alignment vertical="center" wrapText="1"/>
      <protection hidden="1"/>
    </xf>
    <xf numFmtId="0" fontId="0" fillId="43" borderId="42" xfId="0" applyFont="1" applyFill="1" applyBorder="1" applyAlignment="1" applyProtection="1">
      <alignment vertical="center" wrapText="1"/>
      <protection hidden="1"/>
    </xf>
    <xf numFmtId="0" fontId="0" fillId="43" borderId="42" xfId="0" applyFont="1" applyFill="1" applyBorder="1" applyAlignment="1" applyProtection="1">
      <alignment wrapText="1"/>
      <protection hidden="1"/>
    </xf>
    <xf numFmtId="0" fontId="9" fillId="43" borderId="43" xfId="0" applyFont="1" applyFill="1" applyBorder="1" applyAlignment="1" applyProtection="1">
      <alignment vertical="center" wrapText="1"/>
      <protection hidden="1"/>
    </xf>
    <xf numFmtId="0" fontId="9" fillId="43" borderId="43" xfId="0" applyFont="1" applyFill="1" applyBorder="1" applyAlignment="1" applyProtection="1">
      <alignment wrapText="1"/>
      <protection hidden="1"/>
    </xf>
    <xf numFmtId="0" fontId="9" fillId="43" borderId="44" xfId="0" applyFont="1" applyFill="1" applyBorder="1" applyAlignment="1" applyProtection="1">
      <alignment vertical="center" wrapText="1"/>
      <protection hidden="1"/>
    </xf>
    <xf numFmtId="0" fontId="9" fillId="43" borderId="44" xfId="0" applyFont="1" applyFill="1" applyBorder="1" applyAlignment="1" applyProtection="1">
      <alignment wrapText="1"/>
      <protection hidden="1"/>
    </xf>
    <xf numFmtId="0" fontId="0" fillId="0" borderId="45" xfId="0" applyFont="1" applyFill="1" applyBorder="1" applyAlignment="1" applyProtection="1">
      <alignment vertical="center" wrapText="1"/>
      <protection hidden="1"/>
    </xf>
    <xf numFmtId="0" fontId="67" fillId="0" borderId="46" xfId="0" applyFont="1" applyFill="1" applyBorder="1" applyAlignment="1" applyProtection="1">
      <alignment wrapText="1"/>
      <protection hidden="1"/>
    </xf>
    <xf numFmtId="0" fontId="0" fillId="0" borderId="46" xfId="0" applyFont="1" applyFill="1" applyBorder="1" applyAlignment="1" applyProtection="1">
      <alignment/>
      <protection hidden="1"/>
    </xf>
    <xf numFmtId="4" fontId="0" fillId="0" borderId="46" xfId="0" applyNumberFormat="1" applyFont="1" applyFill="1" applyBorder="1" applyAlignment="1" applyProtection="1">
      <alignment/>
      <protection locked="0"/>
    </xf>
    <xf numFmtId="4" fontId="0" fillId="0" borderId="46" xfId="0" applyNumberFormat="1" applyFont="1" applyFill="1" applyBorder="1" applyAlignment="1" applyProtection="1">
      <alignment/>
      <protection locked="0"/>
    </xf>
    <xf numFmtId="4" fontId="0" fillId="0" borderId="47" xfId="0" applyNumberFormat="1" applyFont="1" applyFill="1" applyBorder="1" applyAlignment="1" applyProtection="1">
      <alignmen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vertical="center" wrapText="1"/>
      <protection hidden="1"/>
    </xf>
    <xf numFmtId="0" fontId="11" fillId="0" borderId="49" xfId="0" applyFont="1" applyFill="1" applyBorder="1" applyAlignment="1" applyProtection="1">
      <alignment/>
      <protection hidden="1"/>
    </xf>
    <xf numFmtId="16" fontId="11" fillId="0" borderId="49" xfId="0" applyNumberFormat="1" applyFont="1" applyFill="1" applyBorder="1" applyAlignment="1" applyProtection="1">
      <alignment/>
      <protection hidden="1"/>
    </xf>
    <xf numFmtId="16" fontId="11" fillId="0" borderId="49" xfId="0" applyNumberFormat="1" applyFont="1" applyFill="1" applyBorder="1" applyAlignment="1" applyProtection="1">
      <alignment vertical="center"/>
      <protection hidden="1"/>
    </xf>
    <xf numFmtId="0" fontId="0" fillId="0" borderId="49" xfId="0" applyFont="1" applyBorder="1" applyAlignment="1" applyProtection="1">
      <alignment vertical="center" wrapText="1"/>
      <protection hidden="1"/>
    </xf>
    <xf numFmtId="0" fontId="0" fillId="0" borderId="5" xfId="0" applyFont="1" applyBorder="1" applyAlignment="1" applyProtection="1">
      <alignment wrapText="1"/>
      <protection hidden="1"/>
    </xf>
    <xf numFmtId="0" fontId="0" fillId="0" borderId="5" xfId="0" applyFont="1" applyBorder="1" applyAlignment="1" applyProtection="1">
      <alignment/>
      <protection hidden="1"/>
    </xf>
    <xf numFmtId="171" fontId="0" fillId="0" borderId="5" xfId="0" applyNumberFormat="1" applyFont="1" applyBorder="1" applyAlignment="1" applyProtection="1">
      <alignment/>
      <protection locked="0"/>
    </xf>
    <xf numFmtId="171" fontId="0" fillId="0" borderId="36" xfId="0" applyNumberFormat="1" applyFont="1" applyBorder="1" applyAlignment="1" applyProtection="1">
      <alignment/>
      <protection locked="0"/>
    </xf>
    <xf numFmtId="0" fontId="0" fillId="0" borderId="0" xfId="0" applyFont="1" applyBorder="1" applyAlignment="1" applyProtection="1">
      <alignment vertical="center" wrapText="1"/>
      <protection hidden="1"/>
    </xf>
    <xf numFmtId="49" fontId="0" fillId="0" borderId="4" xfId="0" applyNumberFormat="1" applyBorder="1" applyAlignment="1">
      <alignment vertical="center"/>
    </xf>
    <xf numFmtId="49" fontId="0" fillId="0" borderId="0" xfId="0" applyNumberFormat="1" applyAlignment="1">
      <alignment/>
    </xf>
    <xf numFmtId="49" fontId="0" fillId="44" borderId="4" xfId="0" applyNumberFormat="1" applyFill="1" applyBorder="1" applyAlignment="1">
      <alignment vertical="center"/>
    </xf>
    <xf numFmtId="0" fontId="0" fillId="45" borderId="5" xfId="0" applyFill="1" applyBorder="1" applyAlignment="1">
      <alignment/>
    </xf>
    <xf numFmtId="49" fontId="0" fillId="45" borderId="5" xfId="0" applyNumberFormat="1" applyFill="1" applyBorder="1" applyAlignment="1">
      <alignment/>
    </xf>
    <xf numFmtId="0" fontId="0" fillId="45" borderId="5" xfId="0" applyFill="1" applyBorder="1" applyAlignment="1">
      <alignment horizontal="center"/>
    </xf>
    <xf numFmtId="0" fontId="0" fillId="45" borderId="30" xfId="0" applyFill="1" applyBorder="1" applyAlignment="1">
      <alignment/>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212" fontId="0" fillId="0" borderId="0" xfId="0" applyNumberFormat="1" applyAlignment="1">
      <alignment vertical="top"/>
    </xf>
    <xf numFmtId="4" fontId="0" fillId="0" borderId="0" xfId="0" applyNumberFormat="1" applyAlignment="1">
      <alignment vertical="top"/>
    </xf>
    <xf numFmtId="49" fontId="9" fillId="44" borderId="50" xfId="0" applyNumberFormat="1" applyFont="1" applyFill="1" applyBorder="1" applyAlignment="1">
      <alignment vertical="top"/>
    </xf>
    <xf numFmtId="49" fontId="9" fillId="44" borderId="50" xfId="0" applyNumberFormat="1" applyFont="1" applyFill="1" applyBorder="1" applyAlignment="1">
      <alignment horizontal="left" vertical="top" wrapText="1"/>
    </xf>
    <xf numFmtId="0" fontId="9" fillId="44" borderId="50" xfId="0" applyFont="1" applyFill="1" applyBorder="1" applyAlignment="1">
      <alignment horizontal="center" vertical="top" shrinkToFit="1"/>
    </xf>
    <xf numFmtId="212" fontId="9" fillId="44" borderId="50" xfId="0" applyNumberFormat="1" applyFont="1" applyFill="1" applyBorder="1" applyAlignment="1">
      <alignment vertical="top" shrinkToFit="1"/>
    </xf>
    <xf numFmtId="4" fontId="9" fillId="44" borderId="50" xfId="0" applyNumberFormat="1" applyFont="1" applyFill="1" applyBorder="1" applyAlignment="1">
      <alignment vertical="top" shrinkToFit="1"/>
    </xf>
    <xf numFmtId="4" fontId="9" fillId="44" borderId="51" xfId="0" applyNumberFormat="1" applyFont="1" applyFill="1" applyBorder="1" applyAlignment="1">
      <alignment vertical="top" shrinkToFit="1"/>
    </xf>
    <xf numFmtId="49" fontId="43" fillId="0" borderId="52" xfId="0" applyNumberFormat="1" applyFont="1" applyBorder="1" applyAlignment="1">
      <alignment vertical="top"/>
    </xf>
    <xf numFmtId="49" fontId="43" fillId="0" borderId="52" xfId="0" applyNumberFormat="1" applyFont="1" applyBorder="1" applyAlignment="1">
      <alignment horizontal="left" vertical="top" wrapText="1"/>
    </xf>
    <xf numFmtId="0" fontId="43" fillId="0" borderId="52" xfId="0" applyFont="1" applyBorder="1" applyAlignment="1">
      <alignment horizontal="center" vertical="top" shrinkToFit="1"/>
    </xf>
    <xf numFmtId="212" fontId="43" fillId="0" borderId="52" xfId="0" applyNumberFormat="1" applyFont="1" applyBorder="1" applyAlignment="1">
      <alignment vertical="top" shrinkToFit="1"/>
    </xf>
    <xf numFmtId="4" fontId="43" fillId="0" borderId="52" xfId="0" applyNumberFormat="1" applyFont="1" applyBorder="1" applyAlignment="1">
      <alignment vertical="top" shrinkToFit="1"/>
    </xf>
    <xf numFmtId="4" fontId="43" fillId="0" borderId="53" xfId="0" applyNumberFormat="1" applyFont="1" applyBorder="1" applyAlignment="1">
      <alignment vertical="top" shrinkToFit="1"/>
    </xf>
    <xf numFmtId="0" fontId="43" fillId="0" borderId="0" xfId="0" applyFont="1" applyAlignment="1">
      <alignment/>
    </xf>
    <xf numFmtId="49" fontId="43" fillId="0" borderId="54" xfId="0" applyNumberFormat="1" applyFont="1" applyBorder="1" applyAlignment="1">
      <alignment vertical="top"/>
    </xf>
    <xf numFmtId="49" fontId="43" fillId="0" borderId="54" xfId="0" applyNumberFormat="1" applyFont="1" applyBorder="1" applyAlignment="1">
      <alignment horizontal="left" vertical="top" wrapText="1"/>
    </xf>
    <xf numFmtId="0" fontId="43" fillId="0" borderId="54" xfId="0" applyFont="1" applyBorder="1" applyAlignment="1">
      <alignment horizontal="center" vertical="top" shrinkToFit="1"/>
    </xf>
    <xf numFmtId="212" fontId="43" fillId="0" borderId="54" xfId="0" applyNumberFormat="1" applyFont="1" applyBorder="1" applyAlignment="1">
      <alignment vertical="top" shrinkToFit="1"/>
    </xf>
    <xf numFmtId="4" fontId="43" fillId="0" borderId="54" xfId="0" applyNumberFormat="1" applyFont="1" applyBorder="1" applyAlignment="1">
      <alignment vertical="top" shrinkToFit="1"/>
    </xf>
    <xf numFmtId="4" fontId="43" fillId="0" borderId="55" xfId="0" applyNumberFormat="1" applyFont="1" applyBorder="1" applyAlignment="1">
      <alignment vertical="top" shrinkToFit="1"/>
    </xf>
    <xf numFmtId="49" fontId="0" fillId="0" borderId="0" xfId="0" applyNumberFormat="1" applyAlignment="1">
      <alignment horizontal="left" vertical="top" wrapText="1"/>
    </xf>
    <xf numFmtId="49" fontId="0" fillId="0" borderId="0" xfId="0" applyNumberFormat="1" applyAlignment="1">
      <alignment horizontal="left" wrapText="1"/>
    </xf>
    <xf numFmtId="0" fontId="0" fillId="44" borderId="4" xfId="0" applyFill="1" applyBorder="1" applyAlignment="1">
      <alignment vertical="center"/>
    </xf>
    <xf numFmtId="4" fontId="9" fillId="44" borderId="56" xfId="0" applyNumberFormat="1" applyFont="1" applyFill="1" applyBorder="1" applyAlignment="1">
      <alignment vertical="center"/>
    </xf>
    <xf numFmtId="4" fontId="131" fillId="0" borderId="15" xfId="0" applyNumberFormat="1" applyFont="1" applyBorder="1" applyAlignment="1">
      <alignment horizontal="right" vertical="center"/>
    </xf>
    <xf numFmtId="49" fontId="132" fillId="0" borderId="0" xfId="0" applyNumberFormat="1" applyFont="1" applyAlignment="1">
      <alignment horizontal="left" indent="2"/>
    </xf>
    <xf numFmtId="49" fontId="133" fillId="0" borderId="0" xfId="0" applyNumberFormat="1" applyFont="1" applyAlignment="1">
      <alignment horizontal="left" vertical="center"/>
    </xf>
    <xf numFmtId="4" fontId="133" fillId="0" borderId="0" xfId="0" applyNumberFormat="1" applyFont="1" applyAlignment="1">
      <alignment horizontal="right" vertical="center"/>
    </xf>
    <xf numFmtId="0" fontId="0" fillId="2" borderId="30" xfId="0" applyFont="1" applyFill="1" applyBorder="1" applyAlignment="1">
      <alignment/>
    </xf>
    <xf numFmtId="49" fontId="28" fillId="2" borderId="4" xfId="0" applyNumberFormat="1" applyFont="1" applyFill="1" applyBorder="1" applyAlignment="1">
      <alignment horizontal="center" vertical="center"/>
    </xf>
    <xf numFmtId="4" fontId="6" fillId="0" borderId="16" xfId="0" applyNumberFormat="1" applyFont="1" applyFill="1" applyBorder="1" applyAlignment="1">
      <alignment horizontal="right" vertical="center"/>
    </xf>
    <xf numFmtId="0" fontId="4" fillId="0" borderId="15" xfId="0" applyFont="1" applyBorder="1" applyAlignment="1">
      <alignment horizontal="center" vertical="center"/>
    </xf>
    <xf numFmtId="3" fontId="28" fillId="41" borderId="20" xfId="0" applyNumberFormat="1" applyFont="1" applyFill="1" applyBorder="1" applyAlignment="1">
      <alignment horizontal="center" vertical="center"/>
    </xf>
    <xf numFmtId="3" fontId="28" fillId="41" borderId="19" xfId="0" applyNumberFormat="1" applyFont="1" applyFill="1" applyBorder="1" applyAlignment="1">
      <alignment horizontal="center" vertical="center"/>
    </xf>
    <xf numFmtId="167" fontId="0" fillId="0" borderId="0" xfId="0" applyNumberFormat="1" applyAlignment="1">
      <alignment/>
    </xf>
    <xf numFmtId="3" fontId="0" fillId="0" borderId="0" xfId="0" applyNumberFormat="1" applyAlignment="1">
      <alignment/>
    </xf>
    <xf numFmtId="167" fontId="4" fillId="0" borderId="15" xfId="0" applyNumberFormat="1" applyFont="1" applyBorder="1" applyAlignment="1">
      <alignment horizontal="right" vertical="center"/>
    </xf>
    <xf numFmtId="3" fontId="4" fillId="0" borderId="18" xfId="0" applyNumberFormat="1" applyFont="1" applyBorder="1" applyAlignment="1">
      <alignment horizontal="right" vertical="center"/>
    </xf>
    <xf numFmtId="3" fontId="6" fillId="0" borderId="16" xfId="0" applyNumberFormat="1" applyFont="1" applyBorder="1" applyAlignment="1">
      <alignment horizontal="right" vertical="center"/>
    </xf>
    <xf numFmtId="49" fontId="4" fillId="46" borderId="18" xfId="0" applyNumberFormat="1" applyFont="1" applyFill="1" applyBorder="1" applyAlignment="1">
      <alignment horizontal="left" vertical="center"/>
    </xf>
    <xf numFmtId="49" fontId="4" fillId="46" borderId="15" xfId="0" applyNumberFormat="1" applyFont="1" applyFill="1" applyBorder="1" applyAlignment="1">
      <alignment horizontal="center" vertical="center"/>
    </xf>
    <xf numFmtId="0" fontId="10" fillId="2" borderId="30" xfId="0" applyFont="1" applyFill="1" applyBorder="1" applyAlignment="1">
      <alignment/>
    </xf>
    <xf numFmtId="49" fontId="73" fillId="2" borderId="4" xfId="0" applyNumberFormat="1" applyFont="1" applyFill="1" applyBorder="1" applyAlignment="1">
      <alignment horizontal="center" vertical="center"/>
    </xf>
    <xf numFmtId="49" fontId="73" fillId="2" borderId="4" xfId="0" applyNumberFormat="1" applyFont="1" applyFill="1" applyBorder="1" applyAlignment="1">
      <alignment horizontal="left" vertical="center"/>
    </xf>
    <xf numFmtId="3" fontId="73" fillId="2" borderId="4" xfId="0" applyNumberFormat="1" applyFont="1" applyFill="1" applyBorder="1" applyAlignment="1">
      <alignment horizontal="right" vertical="center"/>
    </xf>
    <xf numFmtId="4" fontId="73" fillId="2" borderId="32" xfId="0" applyNumberFormat="1" applyFont="1" applyFill="1" applyBorder="1" applyAlignment="1">
      <alignment horizontal="right" vertical="center"/>
    </xf>
    <xf numFmtId="167" fontId="6" fillId="0" borderId="0" xfId="0" applyNumberFormat="1" applyFont="1" applyAlignment="1">
      <alignment horizontal="left" vertical="center"/>
    </xf>
    <xf numFmtId="3" fontId="6" fillId="0" borderId="0" xfId="0" applyNumberFormat="1" applyFont="1" applyAlignment="1">
      <alignment horizontal="right" vertical="center"/>
    </xf>
    <xf numFmtId="3" fontId="0" fillId="0" borderId="0" xfId="0" applyNumberFormat="1" applyAlignment="1">
      <alignment/>
    </xf>
    <xf numFmtId="175" fontId="0" fillId="0" borderId="0" xfId="0" applyNumberFormat="1" applyAlignment="1">
      <alignment/>
    </xf>
    <xf numFmtId="49" fontId="28" fillId="0" borderId="18" xfId="0" applyNumberFormat="1" applyFont="1" applyBorder="1" applyAlignment="1">
      <alignment horizontal="left" vertical="center"/>
    </xf>
    <xf numFmtId="49" fontId="28" fillId="0" borderId="15" xfId="0" applyNumberFormat="1" applyFont="1" applyBorder="1" applyAlignment="1">
      <alignment horizontal="center" vertical="center"/>
    </xf>
    <xf numFmtId="4" fontId="28" fillId="0" borderId="15" xfId="0" applyNumberFormat="1" applyFont="1" applyBorder="1" applyAlignment="1">
      <alignment horizontal="right" vertical="center"/>
    </xf>
    <xf numFmtId="175" fontId="27" fillId="0" borderId="25" xfId="0" applyNumberFormat="1" applyFont="1" applyFill="1" applyBorder="1" applyAlignment="1">
      <alignment/>
    </xf>
    <xf numFmtId="0" fontId="134" fillId="0" borderId="0" xfId="0" applyFont="1" applyFill="1" applyAlignment="1">
      <alignment/>
    </xf>
    <xf numFmtId="49" fontId="127" fillId="0" borderId="18" xfId="0" applyNumberFormat="1" applyFont="1" applyBorder="1" applyAlignment="1">
      <alignment horizontal="left" vertical="center"/>
    </xf>
    <xf numFmtId="49" fontId="28" fillId="0" borderId="18" xfId="0" applyNumberFormat="1" applyFont="1" applyFill="1" applyBorder="1" applyAlignment="1">
      <alignment horizontal="left" vertical="center"/>
    </xf>
    <xf numFmtId="174" fontId="31" fillId="0" borderId="26" xfId="176" applyNumberFormat="1" applyFont="1" applyBorder="1" applyAlignment="1">
      <alignment horizontal="right" vertical="top"/>
      <protection/>
    </xf>
    <xf numFmtId="174" fontId="39" fillId="0" borderId="26" xfId="0" applyNumberFormat="1" applyFont="1" applyBorder="1" applyAlignment="1">
      <alignment horizontal="right" vertical="top"/>
    </xf>
    <xf numFmtId="172" fontId="31" fillId="0" borderId="26" xfId="176" applyNumberFormat="1" applyFont="1" applyFill="1" applyBorder="1" applyAlignment="1">
      <alignment horizontal="right" vertical="top"/>
      <protection/>
    </xf>
    <xf numFmtId="0" fontId="135" fillId="0" borderId="26" xfId="176" applyNumberFormat="1" applyFont="1" applyBorder="1" applyAlignment="1">
      <alignment horizontal="left" vertical="top" wrapText="1"/>
      <protection/>
    </xf>
    <xf numFmtId="0" fontId="135" fillId="0" borderId="26" xfId="0" applyNumberFormat="1" applyFont="1" applyBorder="1" applyAlignment="1">
      <alignment horizontal="left" vertical="top" wrapText="1"/>
    </xf>
    <xf numFmtId="0" fontId="135" fillId="0" borderId="26" xfId="176" applyNumberFormat="1" applyFont="1" applyBorder="1" applyAlignment="1">
      <alignment horizontal="left" vertical="center" wrapText="1"/>
      <protection/>
    </xf>
    <xf numFmtId="0" fontId="132" fillId="0" borderId="0" xfId="176" applyNumberFormat="1" applyFont="1" applyAlignment="1">
      <alignment horizontal="left"/>
      <protection/>
    </xf>
    <xf numFmtId="0" fontId="132" fillId="0" borderId="0" xfId="176" applyNumberFormat="1" applyFont="1" applyFill="1" applyAlignment="1">
      <alignment horizontal="left"/>
      <protection/>
    </xf>
    <xf numFmtId="0" fontId="31" fillId="0" borderId="26" xfId="176" applyNumberFormat="1" applyFont="1" applyBorder="1" applyAlignment="1">
      <alignment horizontal="left" vertical="top" wrapText="1"/>
      <protection/>
    </xf>
    <xf numFmtId="49" fontId="1"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136" fillId="0" borderId="0" xfId="0" applyFont="1" applyFill="1" applyAlignment="1">
      <alignment vertical="top" wrapText="1"/>
    </xf>
    <xf numFmtId="44" fontId="26" fillId="5" borderId="0" xfId="112" applyFont="1" applyFill="1" applyAlignment="1">
      <alignment vertical="center"/>
    </xf>
    <xf numFmtId="49" fontId="128" fillId="5" borderId="0" xfId="0" applyNumberFormat="1" applyFont="1" applyFill="1" applyAlignment="1">
      <alignment horizontal="left" vertical="center"/>
    </xf>
    <xf numFmtId="4" fontId="27" fillId="5" borderId="0" xfId="0" applyNumberFormat="1" applyFont="1" applyFill="1" applyAlignment="1">
      <alignment vertical="center"/>
    </xf>
    <xf numFmtId="49" fontId="27" fillId="5" borderId="0" xfId="0" applyNumberFormat="1" applyFont="1" applyFill="1" applyAlignment="1">
      <alignment vertical="center"/>
    </xf>
    <xf numFmtId="49" fontId="27" fillId="5" borderId="0" xfId="0" applyNumberFormat="1" applyFont="1" applyFill="1" applyAlignment="1">
      <alignment horizontal="left" vertical="center"/>
    </xf>
    <xf numFmtId="44" fontId="27" fillId="5" borderId="0" xfId="112" applyFont="1" applyFill="1" applyAlignment="1">
      <alignment horizontal="left" vertical="center"/>
    </xf>
    <xf numFmtId="4" fontId="27" fillId="5" borderId="0" xfId="0" applyNumberFormat="1" applyFont="1" applyFill="1" applyAlignment="1">
      <alignment horizontal="left" vertical="center"/>
    </xf>
    <xf numFmtId="4" fontId="5" fillId="5" borderId="0" xfId="0" applyNumberFormat="1" applyFont="1" applyFill="1" applyAlignment="1">
      <alignment horizontal="left" vertical="center"/>
    </xf>
    <xf numFmtId="4" fontId="0" fillId="0" borderId="26" xfId="0" applyNumberFormat="1" applyFont="1" applyFill="1" applyBorder="1" applyAlignment="1" applyProtection="1">
      <alignment wrapText="1"/>
      <protection hidden="1"/>
    </xf>
    <xf numFmtId="0" fontId="0" fillId="0" borderId="27" xfId="0" applyFont="1" applyFill="1" applyBorder="1" applyAlignment="1" applyProtection="1">
      <alignment wrapText="1"/>
      <protection hidden="1"/>
    </xf>
    <xf numFmtId="49" fontId="42" fillId="0" borderId="57" xfId="178" applyNumberFormat="1" applyFont="1" applyBorder="1" applyAlignment="1" applyProtection="1">
      <alignment horizontal="left" vertical="center" wrapText="1"/>
      <protection/>
    </xf>
    <xf numFmtId="49" fontId="4" fillId="0" borderId="16" xfId="0" applyNumberFormat="1" applyFont="1" applyBorder="1" applyAlignment="1">
      <alignment horizontal="center" vertical="center"/>
    </xf>
    <xf numFmtId="4" fontId="4" fillId="0" borderId="16" xfId="0" applyNumberFormat="1" applyFont="1" applyBorder="1" applyAlignment="1">
      <alignment horizontal="right" vertical="center"/>
    </xf>
    <xf numFmtId="167" fontId="4" fillId="46" borderId="15" xfId="0" applyNumberFormat="1" applyFont="1" applyFill="1" applyBorder="1" applyAlignment="1">
      <alignment horizontal="right" vertical="center"/>
    </xf>
    <xf numFmtId="167" fontId="4" fillId="0" borderId="18" xfId="0" applyNumberFormat="1" applyFont="1" applyBorder="1" applyAlignment="1">
      <alignment horizontal="right" vertical="center"/>
    </xf>
    <xf numFmtId="0" fontId="76" fillId="0" borderId="0" xfId="176" applyNumberFormat="1" applyFont="1" applyAlignment="1">
      <alignment horizontal="left" vertical="top" wrapText="1"/>
      <protection/>
    </xf>
    <xf numFmtId="49" fontId="137" fillId="0" borderId="0" xfId="176" applyNumberFormat="1" applyFont="1" applyAlignment="1">
      <alignment horizontal="left" vertical="top" wrapText="1"/>
      <protection/>
    </xf>
    <xf numFmtId="172" fontId="39" fillId="0" borderId="0" xfId="176" applyNumberFormat="1" applyFont="1" applyBorder="1" applyAlignment="1">
      <alignment horizontal="right" vertical="top"/>
      <protection/>
    </xf>
    <xf numFmtId="49" fontId="39" fillId="0" borderId="0" xfId="176" applyNumberFormat="1" applyFont="1" applyBorder="1" applyAlignment="1">
      <alignment horizontal="center" vertical="top"/>
      <protection/>
    </xf>
    <xf numFmtId="4" fontId="40" fillId="0" borderId="0" xfId="176" applyNumberFormat="1" applyFont="1" applyFill="1" applyBorder="1" applyAlignment="1">
      <alignment horizontal="right" vertical="top"/>
      <protection/>
    </xf>
    <xf numFmtId="175" fontId="39" fillId="0" borderId="0" xfId="176" applyNumberFormat="1" applyFont="1" applyBorder="1" applyAlignment="1">
      <alignment horizontal="right" vertical="top"/>
      <protection/>
    </xf>
    <xf numFmtId="176" fontId="39" fillId="0" borderId="0" xfId="176" applyNumberFormat="1" applyFont="1" applyBorder="1" applyAlignment="1">
      <alignment horizontal="right" vertical="top"/>
      <protection/>
    </xf>
    <xf numFmtId="177" fontId="39" fillId="0" borderId="0" xfId="176" applyNumberFormat="1" applyFont="1" applyBorder="1" applyAlignment="1">
      <alignment horizontal="right" vertical="top"/>
      <protection/>
    </xf>
    <xf numFmtId="176" fontId="39" fillId="0" borderId="0" xfId="176" applyNumberFormat="1" applyFont="1" applyFill="1" applyBorder="1" applyAlignment="1">
      <alignment horizontal="right" vertical="top"/>
      <protection/>
    </xf>
    <xf numFmtId="177" fontId="39" fillId="0" borderId="0" xfId="176" applyNumberFormat="1" applyFont="1" applyFill="1" applyBorder="1" applyAlignment="1">
      <alignment horizontal="right" vertical="top"/>
      <protection/>
    </xf>
    <xf numFmtId="172" fontId="39" fillId="0" borderId="0" xfId="176" applyNumberFormat="1" applyFont="1" applyBorder="1" applyAlignment="1">
      <alignment horizontal="right" vertical="center"/>
      <protection/>
    </xf>
    <xf numFmtId="49" fontId="39" fillId="0" borderId="0" xfId="176" applyNumberFormat="1" applyFont="1" applyBorder="1" applyAlignment="1">
      <alignment horizontal="center" vertical="center"/>
      <protection/>
    </xf>
    <xf numFmtId="4" fontId="40" fillId="0" borderId="0" xfId="176" applyNumberFormat="1" applyFont="1" applyFill="1" applyBorder="1" applyAlignment="1">
      <alignment horizontal="right" vertical="center"/>
      <protection/>
    </xf>
    <xf numFmtId="174" fontId="39" fillId="0" borderId="0" xfId="176" applyNumberFormat="1" applyFont="1" applyBorder="1" applyAlignment="1">
      <alignment horizontal="right" vertical="center"/>
      <protection/>
    </xf>
    <xf numFmtId="175" fontId="39" fillId="0" borderId="0" xfId="176" applyNumberFormat="1" applyFont="1" applyBorder="1" applyAlignment="1">
      <alignment horizontal="right" vertical="center"/>
      <protection/>
    </xf>
    <xf numFmtId="176" fontId="39" fillId="0" borderId="0" xfId="176" applyNumberFormat="1" applyFont="1" applyBorder="1" applyAlignment="1">
      <alignment horizontal="right" vertical="center"/>
      <protection/>
    </xf>
    <xf numFmtId="177" fontId="39" fillId="0" borderId="0" xfId="176" applyNumberFormat="1" applyFont="1" applyBorder="1" applyAlignment="1">
      <alignment horizontal="right" vertical="center"/>
      <protection/>
    </xf>
    <xf numFmtId="176" fontId="39" fillId="0" borderId="0" xfId="176" applyNumberFormat="1" applyFont="1" applyFill="1" applyBorder="1" applyAlignment="1">
      <alignment horizontal="right" vertical="center"/>
      <protection/>
    </xf>
    <xf numFmtId="177" fontId="39" fillId="0" borderId="0" xfId="176" applyNumberFormat="1" applyFont="1" applyFill="1" applyBorder="1" applyAlignment="1">
      <alignment horizontal="right" vertical="center"/>
      <protection/>
    </xf>
    <xf numFmtId="0" fontId="77" fillId="0" borderId="0" xfId="176" applyNumberFormat="1" applyFont="1" applyAlignment="1">
      <alignment horizontal="left" vertical="top" wrapText="1"/>
      <protection/>
    </xf>
    <xf numFmtId="173" fontId="40" fillId="0" borderId="26" xfId="174" applyNumberFormat="1" applyFont="1" applyFill="1" applyBorder="1" applyAlignment="1">
      <alignment vertical="top"/>
      <protection/>
    </xf>
    <xf numFmtId="173" fontId="38" fillId="0" borderId="0" xfId="174" applyNumberFormat="1" applyFont="1" applyFill="1" applyBorder="1" applyAlignment="1">
      <alignment vertical="top" wrapText="1"/>
      <protection/>
    </xf>
    <xf numFmtId="49" fontId="39" fillId="0" borderId="26" xfId="174" applyNumberFormat="1" applyFont="1" applyFill="1" applyBorder="1" applyAlignment="1">
      <alignment horizontal="center" vertical="top"/>
      <protection/>
    </xf>
    <xf numFmtId="0" fontId="39" fillId="0" borderId="26" xfId="174" applyNumberFormat="1" applyFont="1" applyFill="1" applyBorder="1" applyAlignment="1">
      <alignment horizontal="left" vertical="top" wrapText="1"/>
      <protection/>
    </xf>
    <xf numFmtId="176" fontId="39" fillId="0" borderId="26" xfId="174" applyNumberFormat="1" applyFont="1" applyFill="1" applyBorder="1" applyAlignment="1">
      <alignment horizontal="right" vertical="top"/>
      <protection/>
    </xf>
    <xf numFmtId="177" fontId="39" fillId="0" borderId="26" xfId="174" applyNumberFormat="1" applyFont="1" applyFill="1" applyBorder="1" applyAlignment="1">
      <alignment horizontal="right" vertical="top"/>
      <protection/>
    </xf>
    <xf numFmtId="174" fontId="39" fillId="0" borderId="26" xfId="174" applyNumberFormat="1" applyFont="1" applyFill="1" applyBorder="1" applyAlignment="1">
      <alignment horizontal="right" vertical="top"/>
      <protection/>
    </xf>
    <xf numFmtId="49" fontId="38" fillId="0" borderId="0" xfId="174" applyNumberFormat="1" applyFont="1" applyFill="1" applyAlignment="1">
      <alignment horizontal="center" vertical="top" wrapText="1"/>
      <protection/>
    </xf>
    <xf numFmtId="0" fontId="38" fillId="0" borderId="0" xfId="174" applyNumberFormat="1" applyFont="1" applyFill="1" applyAlignment="1">
      <alignment horizontal="left" vertical="top" wrapText="1"/>
      <protection/>
    </xf>
    <xf numFmtId="49" fontId="38" fillId="0" borderId="0" xfId="174" applyNumberFormat="1" applyFont="1" applyFill="1" applyAlignment="1">
      <alignment horizontal="left" vertical="top" wrapText="1"/>
      <protection/>
    </xf>
    <xf numFmtId="174" fontId="38" fillId="0" borderId="0" xfId="174" applyNumberFormat="1" applyFont="1" applyFill="1" applyAlignment="1">
      <alignment horizontal="left" vertical="top" wrapText="1"/>
      <protection/>
    </xf>
    <xf numFmtId="176" fontId="38" fillId="0" borderId="0" xfId="174" applyNumberFormat="1" applyFont="1" applyFill="1" applyAlignment="1">
      <alignment horizontal="left" vertical="top" wrapText="1"/>
      <protection/>
    </xf>
    <xf numFmtId="174" fontId="31" fillId="0" borderId="0" xfId="176" applyNumberFormat="1" applyFont="1" applyBorder="1" applyAlignment="1">
      <alignment horizontal="right" vertical="top"/>
      <protection/>
    </xf>
    <xf numFmtId="4" fontId="38" fillId="0" borderId="0" xfId="0" applyNumberFormat="1" applyFont="1" applyFill="1" applyBorder="1" applyAlignment="1">
      <alignment horizontal="right" vertical="center" wrapText="1"/>
    </xf>
    <xf numFmtId="172" fontId="39" fillId="0" borderId="0" xfId="176" applyNumberFormat="1" applyFont="1" applyFill="1" applyBorder="1" applyAlignment="1">
      <alignment horizontal="right" vertical="top"/>
      <protection/>
    </xf>
    <xf numFmtId="0" fontId="0" fillId="0" borderId="5" xfId="0" applyFont="1" applyBorder="1" applyAlignment="1">
      <alignment horizontal="center" vertical="center"/>
    </xf>
    <xf numFmtId="0" fontId="0" fillId="44" borderId="5" xfId="0" applyFont="1" applyFill="1" applyBorder="1" applyAlignment="1">
      <alignment horizontal="center" vertical="center"/>
    </xf>
    <xf numFmtId="0" fontId="9" fillId="44" borderId="34" xfId="0" applyFont="1" applyFill="1" applyBorder="1" applyAlignment="1">
      <alignment horizontal="center" vertical="top"/>
    </xf>
    <xf numFmtId="0" fontId="43" fillId="0" borderId="58" xfId="0" applyFont="1" applyBorder="1" applyAlignment="1">
      <alignment horizontal="center" vertical="top"/>
    </xf>
    <xf numFmtId="4" fontId="28" fillId="0" borderId="15" xfId="0" applyNumberFormat="1" applyFont="1" applyFill="1" applyBorder="1" applyAlignment="1">
      <alignment horizontal="right" vertical="center"/>
    </xf>
    <xf numFmtId="4" fontId="28" fillId="0" borderId="18" xfId="0" applyNumberFormat="1" applyFont="1" applyFill="1" applyBorder="1" applyAlignment="1">
      <alignment horizontal="right" vertical="center"/>
    </xf>
    <xf numFmtId="4" fontId="4" fillId="0" borderId="18" xfId="0" applyNumberFormat="1" applyFont="1" applyFill="1" applyBorder="1" applyAlignment="1">
      <alignment horizontal="right" vertical="center"/>
    </xf>
    <xf numFmtId="174" fontId="39" fillId="0" borderId="0" xfId="176" applyNumberFormat="1" applyFont="1" applyBorder="1" applyAlignment="1">
      <alignment horizontal="right" vertical="top"/>
      <protection/>
    </xf>
    <xf numFmtId="174" fontId="137" fillId="0" borderId="0" xfId="176" applyNumberFormat="1" applyFont="1" applyAlignment="1">
      <alignment horizontal="left" vertical="top" wrapText="1"/>
      <protection/>
    </xf>
    <xf numFmtId="0" fontId="138" fillId="0" borderId="0" xfId="176" applyNumberFormat="1" applyFont="1" applyAlignment="1">
      <alignment horizontal="left" vertical="top" wrapText="1"/>
      <protection/>
    </xf>
    <xf numFmtId="49" fontId="139" fillId="0" borderId="0" xfId="176" applyNumberFormat="1" applyFont="1" applyAlignment="1">
      <alignment horizontal="left" vertical="top" wrapText="1"/>
      <protection/>
    </xf>
    <xf numFmtId="4" fontId="139" fillId="0" borderId="0" xfId="176" applyNumberFormat="1" applyFont="1" applyFill="1" applyBorder="1" applyAlignment="1">
      <alignment horizontal="right" vertical="top"/>
      <protection/>
    </xf>
    <xf numFmtId="0" fontId="139" fillId="0" borderId="0" xfId="176" applyNumberFormat="1" applyFont="1" applyAlignment="1">
      <alignment horizontal="left" vertical="top" wrapText="1"/>
      <protection/>
    </xf>
    <xf numFmtId="49" fontId="135" fillId="0" borderId="26" xfId="176" applyNumberFormat="1" applyFont="1" applyBorder="1" applyAlignment="1">
      <alignment horizontal="center" vertical="top"/>
      <protection/>
    </xf>
    <xf numFmtId="4" fontId="140" fillId="0" borderId="26" xfId="176" applyNumberFormat="1" applyFont="1" applyFill="1" applyBorder="1" applyAlignment="1">
      <alignment horizontal="right" vertical="top"/>
      <protection/>
    </xf>
    <xf numFmtId="174" fontId="135" fillId="0" borderId="26" xfId="176" applyNumberFormat="1" applyFont="1" applyBorder="1" applyAlignment="1">
      <alignment horizontal="right" vertical="top"/>
      <protection/>
    </xf>
    <xf numFmtId="175" fontId="135" fillId="0" borderId="26" xfId="176" applyNumberFormat="1" applyFont="1" applyBorder="1" applyAlignment="1">
      <alignment horizontal="right" vertical="top"/>
      <protection/>
    </xf>
    <xf numFmtId="176" fontId="135" fillId="0" borderId="26" xfId="176" applyNumberFormat="1" applyFont="1" applyBorder="1" applyAlignment="1">
      <alignment horizontal="right" vertical="top"/>
      <protection/>
    </xf>
    <xf numFmtId="177" fontId="135" fillId="0" borderId="26" xfId="176" applyNumberFormat="1" applyFont="1" applyBorder="1" applyAlignment="1">
      <alignment horizontal="right" vertical="top"/>
      <protection/>
    </xf>
    <xf numFmtId="49" fontId="31" fillId="0" borderId="26" xfId="176" applyNumberFormat="1" applyFont="1" applyBorder="1" applyAlignment="1">
      <alignment horizontal="center" vertical="top"/>
      <protection/>
    </xf>
    <xf numFmtId="172" fontId="31" fillId="0" borderId="26" xfId="176" applyNumberFormat="1" applyFont="1" applyBorder="1" applyAlignment="1">
      <alignment horizontal="right" vertical="top"/>
      <protection/>
    </xf>
    <xf numFmtId="172" fontId="141" fillId="0" borderId="26" xfId="176" applyNumberFormat="1" applyFont="1" applyBorder="1" applyAlignment="1">
      <alignment horizontal="right" vertical="top"/>
      <protection/>
    </xf>
    <xf numFmtId="49" fontId="141" fillId="0" borderId="26" xfId="176" applyNumberFormat="1" applyFont="1" applyBorder="1" applyAlignment="1">
      <alignment horizontal="center" vertical="top"/>
      <protection/>
    </xf>
    <xf numFmtId="4" fontId="142" fillId="0" borderId="26" xfId="176" applyNumberFormat="1" applyFont="1" applyFill="1" applyBorder="1" applyAlignment="1">
      <alignment horizontal="right" vertical="top"/>
      <protection/>
    </xf>
    <xf numFmtId="174" fontId="141" fillId="0" borderId="26" xfId="176" applyNumberFormat="1" applyFont="1" applyBorder="1" applyAlignment="1">
      <alignment horizontal="right" vertical="top"/>
      <protection/>
    </xf>
    <xf numFmtId="175" fontId="141" fillId="0" borderId="26" xfId="176" applyNumberFormat="1" applyFont="1" applyBorder="1" applyAlignment="1">
      <alignment horizontal="right" vertical="top"/>
      <protection/>
    </xf>
    <xf numFmtId="0" fontId="9" fillId="0" borderId="0" xfId="0" applyFont="1" applyFill="1" applyAlignment="1">
      <alignment/>
    </xf>
    <xf numFmtId="0" fontId="136" fillId="0" borderId="0" xfId="0" applyFont="1" applyFill="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175" fontId="31" fillId="0" borderId="26" xfId="176" applyNumberFormat="1" applyFont="1" applyBorder="1" applyAlignment="1">
      <alignment horizontal="right" vertical="top"/>
      <protection/>
    </xf>
    <xf numFmtId="0" fontId="39" fillId="0" borderId="26" xfId="0" applyNumberFormat="1" applyFont="1" applyBorder="1" applyAlignment="1">
      <alignment horizontal="left" vertical="top" wrapText="1"/>
    </xf>
    <xf numFmtId="173" fontId="40" fillId="0" borderId="26" xfId="0" applyNumberFormat="1" applyFont="1" applyFill="1" applyBorder="1" applyAlignment="1">
      <alignment vertical="top"/>
    </xf>
    <xf numFmtId="49" fontId="38" fillId="0" borderId="0" xfId="0" applyNumberFormat="1" applyFont="1" applyAlignment="1">
      <alignment horizontal="center" vertical="top" wrapText="1"/>
    </xf>
    <xf numFmtId="0" fontId="38" fillId="0" borderId="0" xfId="0" applyNumberFormat="1" applyFont="1" applyAlignment="1">
      <alignment horizontal="left" vertical="top" wrapText="1"/>
    </xf>
    <xf numFmtId="173" fontId="38" fillId="0" borderId="0" xfId="0" applyNumberFormat="1" applyFont="1" applyFill="1" applyBorder="1" applyAlignment="1">
      <alignment vertical="top" wrapText="1"/>
    </xf>
    <xf numFmtId="49" fontId="39" fillId="0" borderId="0" xfId="0" applyNumberFormat="1" applyFont="1" applyBorder="1" applyAlignment="1">
      <alignment horizontal="center" vertical="top"/>
    </xf>
    <xf numFmtId="174" fontId="39" fillId="0" borderId="0" xfId="0" applyNumberFormat="1" applyFont="1" applyBorder="1" applyAlignment="1">
      <alignment horizontal="right" vertical="top"/>
    </xf>
    <xf numFmtId="175" fontId="39" fillId="0" borderId="0" xfId="0" applyNumberFormat="1" applyFont="1" applyBorder="1" applyAlignment="1">
      <alignment horizontal="right" vertical="top"/>
    </xf>
    <xf numFmtId="176" fontId="39" fillId="0" borderId="0" xfId="0" applyNumberFormat="1" applyFont="1" applyBorder="1" applyAlignment="1">
      <alignment horizontal="right" vertical="top"/>
    </xf>
    <xf numFmtId="177" fontId="39" fillId="0" borderId="0" xfId="0" applyNumberFormat="1" applyFont="1" applyBorder="1" applyAlignment="1">
      <alignment horizontal="right" vertical="top"/>
    </xf>
    <xf numFmtId="0" fontId="38" fillId="0" borderId="0" xfId="176" applyNumberFormat="1" applyFont="1" applyFill="1" applyBorder="1" applyAlignment="1">
      <alignment horizontal="left" vertical="top" wrapText="1"/>
      <protection/>
    </xf>
    <xf numFmtId="0" fontId="32" fillId="0" borderId="0" xfId="176" applyNumberFormat="1" applyFont="1" applyFill="1" applyAlignment="1">
      <alignment horizontal="left"/>
      <protection/>
    </xf>
    <xf numFmtId="44" fontId="27" fillId="5" borderId="0" xfId="112" applyFont="1" applyFill="1" applyAlignment="1">
      <alignment horizontal="left" vertical="center"/>
    </xf>
    <xf numFmtId="0" fontId="71" fillId="47" borderId="5" xfId="0" applyFont="1" applyFill="1" applyBorder="1" applyAlignment="1" applyProtection="1">
      <alignment wrapText="1"/>
      <protection hidden="1"/>
    </xf>
    <xf numFmtId="49" fontId="5" fillId="5" borderId="0" xfId="0" applyNumberFormat="1" applyFont="1" applyFill="1" applyAlignment="1">
      <alignment horizontal="left" vertical="center"/>
    </xf>
    <xf numFmtId="49" fontId="28" fillId="2" borderId="4" xfId="0" applyNumberFormat="1" applyFont="1" applyFill="1" applyBorder="1" applyAlignment="1">
      <alignment vertical="center"/>
    </xf>
    <xf numFmtId="49" fontId="28" fillId="2" borderId="32" xfId="0" applyNumberFormat="1" applyFont="1" applyFill="1" applyBorder="1" applyAlignment="1">
      <alignment vertical="center"/>
    </xf>
    <xf numFmtId="49" fontId="28" fillId="2" borderId="30" xfId="0" applyNumberFormat="1" applyFont="1" applyFill="1" applyBorder="1" applyAlignment="1">
      <alignment vertical="center"/>
    </xf>
    <xf numFmtId="0" fontId="28" fillId="41" borderId="59" xfId="0" applyFont="1" applyFill="1" applyBorder="1" applyAlignment="1">
      <alignment horizontal="center" vertical="center"/>
    </xf>
    <xf numFmtId="0" fontId="28" fillId="41" borderId="60" xfId="0" applyFont="1" applyFill="1" applyBorder="1" applyAlignment="1">
      <alignment horizontal="center" vertical="center"/>
    </xf>
    <xf numFmtId="0" fontId="0" fillId="43" borderId="42" xfId="0" applyFont="1" applyFill="1" applyBorder="1" applyAlignment="1" applyProtection="1">
      <alignment vertical="top"/>
      <protection hidden="1"/>
    </xf>
    <xf numFmtId="4" fontId="0" fillId="43" borderId="42" xfId="0" applyNumberFormat="1" applyFont="1" applyFill="1" applyBorder="1" applyAlignment="1" applyProtection="1">
      <alignment vertical="top"/>
      <protection locked="0"/>
    </xf>
    <xf numFmtId="0" fontId="0" fillId="43" borderId="42" xfId="0" applyFont="1" applyFill="1" applyBorder="1" applyAlignment="1" applyProtection="1">
      <alignment vertical="top"/>
      <protection locked="0"/>
    </xf>
    <xf numFmtId="0" fontId="9" fillId="43" borderId="43" xfId="0" applyFont="1" applyFill="1" applyBorder="1" applyAlignment="1" applyProtection="1">
      <alignment horizontal="center" vertical="top"/>
      <protection hidden="1"/>
    </xf>
    <xf numFmtId="4" fontId="0" fillId="43" borderId="43" xfId="0" applyNumberFormat="1" applyFont="1" applyFill="1" applyBorder="1" applyAlignment="1" applyProtection="1">
      <alignment horizontal="center" vertical="top"/>
      <protection locked="0"/>
    </xf>
    <xf numFmtId="0" fontId="9" fillId="43" borderId="43" xfId="0" applyFont="1" applyFill="1" applyBorder="1" applyAlignment="1" applyProtection="1">
      <alignment horizontal="center" vertical="top"/>
      <protection locked="0"/>
    </xf>
    <xf numFmtId="0" fontId="9" fillId="43" borderId="44" xfId="0" applyFont="1" applyFill="1" applyBorder="1" applyAlignment="1" applyProtection="1">
      <alignment horizontal="center" vertical="top"/>
      <protection hidden="1"/>
    </xf>
    <xf numFmtId="4" fontId="0" fillId="43" borderId="44" xfId="0" applyNumberFormat="1" applyFont="1" applyFill="1" applyBorder="1" applyAlignment="1" applyProtection="1">
      <alignment horizontal="center" vertical="top"/>
      <protection locked="0"/>
    </xf>
    <xf numFmtId="0" fontId="9" fillId="43" borderId="44" xfId="0" applyFont="1" applyFill="1" applyBorder="1" applyAlignment="1" applyProtection="1">
      <alignment horizontal="center" vertical="top"/>
      <protection locked="0"/>
    </xf>
    <xf numFmtId="171" fontId="0" fillId="0" borderId="0" xfId="0" applyNumberFormat="1" applyFont="1" applyBorder="1" applyAlignment="1" applyProtection="1">
      <alignment/>
      <protection locked="0"/>
    </xf>
    <xf numFmtId="49" fontId="19" fillId="0" borderId="0" xfId="0" applyNumberFormat="1" applyFont="1" applyAlignment="1">
      <alignment horizontal="center" vertical="center"/>
    </xf>
    <xf numFmtId="49" fontId="19" fillId="0" borderId="0" xfId="0" applyNumberFormat="1" applyFont="1" applyAlignment="1">
      <alignment horizontal="left" vertical="center"/>
    </xf>
    <xf numFmtId="4" fontId="19" fillId="0" borderId="0" xfId="0" applyNumberFormat="1" applyFont="1" applyAlignment="1">
      <alignment horizontal="right" vertical="center"/>
    </xf>
    <xf numFmtId="0" fontId="43" fillId="0" borderId="61" xfId="0" applyFont="1" applyBorder="1" applyAlignment="1">
      <alignment horizontal="center" vertical="top"/>
    </xf>
    <xf numFmtId="0" fontId="9" fillId="43" borderId="62" xfId="0" applyFont="1" applyFill="1" applyBorder="1" applyAlignment="1" applyProtection="1">
      <alignment vertical="center" wrapText="1"/>
      <protection hidden="1"/>
    </xf>
    <xf numFmtId="0" fontId="17" fillId="0" borderId="0" xfId="246" applyFont="1" applyFill="1" applyBorder="1" applyAlignment="1">
      <alignment vertical="center"/>
      <protection/>
    </xf>
    <xf numFmtId="0" fontId="17" fillId="0" borderId="0" xfId="188" applyFont="1" applyFill="1" applyAlignment="1">
      <alignment/>
      <protection/>
    </xf>
    <xf numFmtId="0" fontId="17" fillId="0" borderId="0" xfId="246" applyFont="1" applyBorder="1" applyAlignment="1">
      <alignment vertical="center"/>
      <protection/>
    </xf>
    <xf numFmtId="0" fontId="17" fillId="0" borderId="0" xfId="188" applyFont="1" applyAlignment="1">
      <alignment/>
      <protection/>
    </xf>
    <xf numFmtId="0" fontId="35" fillId="0" borderId="30" xfId="246" applyFont="1" applyBorder="1" applyAlignment="1">
      <alignment horizontal="left" vertical="center" wrapText="1"/>
      <protection/>
    </xf>
    <xf numFmtId="0" fontId="35" fillId="0" borderId="4" xfId="246" applyFont="1" applyBorder="1" applyAlignment="1">
      <alignment horizontal="left" vertical="center" wrapText="1"/>
      <protection/>
    </xf>
    <xf numFmtId="0" fontId="35" fillId="0" borderId="32" xfId="246" applyFont="1" applyBorder="1" applyAlignment="1">
      <alignment horizontal="left" vertical="center" wrapText="1"/>
      <protection/>
    </xf>
    <xf numFmtId="0" fontId="17" fillId="48" borderId="63" xfId="246" applyFont="1" applyFill="1" applyBorder="1" applyAlignment="1">
      <alignment horizontal="center" vertical="center" wrapText="1"/>
      <protection/>
    </xf>
    <xf numFmtId="0" fontId="17" fillId="48" borderId="3" xfId="246" applyFont="1" applyFill="1" applyBorder="1" applyAlignment="1">
      <alignment horizontal="center" vertical="center" wrapText="1"/>
      <protection/>
    </xf>
    <xf numFmtId="0" fontId="17" fillId="48" borderId="64" xfId="246" applyFont="1" applyFill="1" applyBorder="1" applyAlignment="1">
      <alignment horizontal="center" vertical="center" wrapText="1"/>
      <protection/>
    </xf>
    <xf numFmtId="0" fontId="11" fillId="0" borderId="0" xfId="246" applyFont="1" applyBorder="1" applyAlignment="1">
      <alignment vertical="center"/>
      <protection/>
    </xf>
    <xf numFmtId="49" fontId="1"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7" fillId="5" borderId="0" xfId="0" applyNumberFormat="1" applyFont="1" applyFill="1" applyAlignment="1">
      <alignment horizontal="left" vertical="center"/>
    </xf>
    <xf numFmtId="49" fontId="28" fillId="41" borderId="65" xfId="0" applyNumberFormat="1" applyFont="1" applyFill="1" applyBorder="1" applyAlignment="1">
      <alignment horizontal="center" vertical="center"/>
    </xf>
    <xf numFmtId="49" fontId="28" fillId="41" borderId="66" xfId="0" applyNumberFormat="1" applyFont="1" applyFill="1" applyBorder="1" applyAlignment="1">
      <alignment horizontal="center" vertical="center"/>
    </xf>
    <xf numFmtId="49" fontId="28" fillId="41" borderId="20" xfId="0" applyNumberFormat="1" applyFont="1" applyFill="1" applyBorder="1" applyAlignment="1">
      <alignment horizontal="center" vertical="center"/>
    </xf>
    <xf numFmtId="49" fontId="28" fillId="41" borderId="19" xfId="0" applyNumberFormat="1" applyFont="1" applyFill="1" applyBorder="1" applyAlignment="1">
      <alignment horizontal="center" vertical="center"/>
    </xf>
    <xf numFmtId="49" fontId="28" fillId="41" borderId="67" xfId="0" applyNumberFormat="1" applyFont="1" applyFill="1" applyBorder="1" applyAlignment="1">
      <alignment horizontal="center" vertical="center"/>
    </xf>
    <xf numFmtId="49" fontId="28" fillId="41" borderId="68" xfId="0" applyNumberFormat="1" applyFont="1" applyFill="1" applyBorder="1" applyAlignment="1">
      <alignment horizontal="center" vertical="center"/>
    </xf>
    <xf numFmtId="4" fontId="28" fillId="41" borderId="67" xfId="0" applyNumberFormat="1" applyFont="1" applyFill="1" applyBorder="1" applyAlignment="1">
      <alignment horizontal="center" vertical="center"/>
    </xf>
    <xf numFmtId="4" fontId="28" fillId="41" borderId="68" xfId="0" applyNumberFormat="1" applyFont="1" applyFill="1" applyBorder="1" applyAlignment="1">
      <alignment horizontal="center" vertical="center"/>
    </xf>
    <xf numFmtId="49" fontId="72" fillId="0" borderId="0" xfId="0" applyNumberFormat="1" applyFont="1" applyAlignment="1">
      <alignment horizontal="left" vertical="center"/>
    </xf>
    <xf numFmtId="49" fontId="6" fillId="0" borderId="16" xfId="0" applyNumberFormat="1" applyFont="1" applyBorder="1" applyAlignment="1">
      <alignment horizontal="left" vertical="center"/>
    </xf>
    <xf numFmtId="49" fontId="73" fillId="2" borderId="4" xfId="0" applyNumberFormat="1" applyFont="1" applyFill="1" applyBorder="1" applyAlignment="1">
      <alignment horizontal="left" vertical="center"/>
    </xf>
    <xf numFmtId="49" fontId="6" fillId="0" borderId="17" xfId="0" applyNumberFormat="1" applyFont="1" applyBorder="1" applyAlignment="1">
      <alignment horizontal="left" vertical="center"/>
    </xf>
    <xf numFmtId="49" fontId="28" fillId="41" borderId="69" xfId="0" applyNumberFormat="1" applyFont="1" applyFill="1" applyBorder="1" applyAlignment="1">
      <alignment horizontal="center" vertical="center"/>
    </xf>
    <xf numFmtId="49" fontId="28" fillId="41" borderId="70" xfId="0" applyNumberFormat="1" applyFont="1" applyFill="1" applyBorder="1" applyAlignment="1">
      <alignment horizontal="center" vertical="center"/>
    </xf>
    <xf numFmtId="49" fontId="28" fillId="41" borderId="51" xfId="0" applyNumberFormat="1" applyFont="1" applyFill="1" applyBorder="1" applyAlignment="1">
      <alignment horizontal="center" vertical="center"/>
    </xf>
    <xf numFmtId="49" fontId="28" fillId="41" borderId="71" xfId="0" applyNumberFormat="1" applyFont="1" applyFill="1" applyBorder="1" applyAlignment="1">
      <alignment horizontal="center" vertical="center"/>
    </xf>
    <xf numFmtId="0" fontId="10" fillId="0" borderId="0" xfId="0" applyFont="1" applyBorder="1" applyAlignment="1">
      <alignment horizontal="center"/>
    </xf>
    <xf numFmtId="49" fontId="9" fillId="0" borderId="30"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32" xfId="0" applyNumberFormat="1" applyFont="1" applyBorder="1" applyAlignment="1">
      <alignment horizontal="left" vertical="center"/>
    </xf>
    <xf numFmtId="49" fontId="0" fillId="0" borderId="34" xfId="0" applyNumberFormat="1" applyBorder="1" applyAlignment="1">
      <alignment horizontal="left" vertical="center"/>
    </xf>
    <xf numFmtId="49" fontId="0" fillId="0" borderId="50" xfId="0" applyNumberFormat="1" applyBorder="1" applyAlignment="1">
      <alignment horizontal="left" vertical="center"/>
    </xf>
    <xf numFmtId="0" fontId="0" fillId="43" borderId="43" xfId="0" applyFont="1" applyFill="1" applyBorder="1" applyAlignment="1" applyProtection="1">
      <alignment horizontal="center" vertical="top" wrapText="1"/>
      <protection locked="0"/>
    </xf>
    <xf numFmtId="0" fontId="0" fillId="43" borderId="44" xfId="0" applyFill="1" applyBorder="1" applyAlignment="1">
      <alignment horizontal="center" vertical="top" wrapText="1"/>
    </xf>
    <xf numFmtId="49" fontId="3" fillId="13" borderId="0" xfId="0" applyNumberFormat="1" applyFont="1" applyFill="1" applyAlignment="1">
      <alignment horizontal="left" vertical="center"/>
    </xf>
    <xf numFmtId="0" fontId="0" fillId="0" borderId="70" xfId="0" applyBorder="1" applyAlignment="1">
      <alignment/>
    </xf>
    <xf numFmtId="49" fontId="28" fillId="41" borderId="72" xfId="0" applyNumberFormat="1" applyFont="1" applyFill="1" applyBorder="1" applyAlignment="1">
      <alignment horizontal="center" vertical="center"/>
    </xf>
    <xf numFmtId="0" fontId="0" fillId="0" borderId="73" xfId="0" applyBorder="1" applyAlignment="1">
      <alignment/>
    </xf>
    <xf numFmtId="44" fontId="27" fillId="5" borderId="0" xfId="112" applyFont="1" applyFill="1" applyAlignment="1">
      <alignment horizontal="left" vertical="center"/>
    </xf>
    <xf numFmtId="49" fontId="19" fillId="0" borderId="0" xfId="0" applyNumberFormat="1" applyFont="1" applyAlignment="1">
      <alignment horizontal="left" vertical="center"/>
    </xf>
    <xf numFmtId="49" fontId="6" fillId="0" borderId="0" xfId="0" applyNumberFormat="1" applyFont="1" applyBorder="1" applyAlignment="1">
      <alignment horizontal="left" vertical="center"/>
    </xf>
    <xf numFmtId="49" fontId="6" fillId="0" borderId="17" xfId="0" applyNumberFormat="1" applyFont="1" applyFill="1" applyBorder="1" applyAlignment="1">
      <alignment horizontal="left" vertical="center"/>
    </xf>
    <xf numFmtId="49" fontId="28" fillId="41" borderId="74" xfId="0" applyNumberFormat="1" applyFont="1" applyFill="1" applyBorder="1" applyAlignment="1">
      <alignment horizontal="center" vertical="center"/>
    </xf>
    <xf numFmtId="0" fontId="0" fillId="0" borderId="75" xfId="0" applyBorder="1" applyAlignment="1">
      <alignment/>
    </xf>
    <xf numFmtId="49" fontId="6" fillId="0" borderId="0" xfId="0" applyNumberFormat="1" applyFont="1" applyAlignment="1">
      <alignment horizontal="left" vertical="center"/>
    </xf>
    <xf numFmtId="49" fontId="19" fillId="0" borderId="0" xfId="0" applyNumberFormat="1" applyFont="1" applyAlignment="1">
      <alignment horizontal="left" vertical="center"/>
    </xf>
  </cellXfs>
  <cellStyles count="300">
    <cellStyle name="Normal" xfId="0"/>
    <cellStyle name="_AS_SO001-Pavilon slepic-SLP-Rozpocet" xfId="15"/>
    <cellStyle name="_BPC II-SLP-Rozpočet_SK" xfId="16"/>
    <cellStyle name="_E92_EZS_PP" xfId="17"/>
    <cellStyle name="_popis_standardu" xfId="18"/>
    <cellStyle name="_REKAPITULACE_SLP_VFU pavilon slepic" xfId="19"/>
    <cellStyle name="_ROZPOCET se vzorci" xfId="20"/>
    <cellStyle name="_SO002_3_E91_SK" xfId="21"/>
    <cellStyle name="0,0&#13;&#10;NA&#13;&#10;" xfId="22"/>
    <cellStyle name="20 % – Zvýraznění1" xfId="23"/>
    <cellStyle name="20 % – Zvýraznění2" xfId="24"/>
    <cellStyle name="20 % – Zvýraznění3" xfId="25"/>
    <cellStyle name="20 % – Zvýraznění4" xfId="26"/>
    <cellStyle name="20 % – Zvýraznění5" xfId="27"/>
    <cellStyle name="20 % – Zvýraznění6" xfId="28"/>
    <cellStyle name="40 % – Zvýraznění1" xfId="29"/>
    <cellStyle name="40 % – Zvýraznění2" xfId="30"/>
    <cellStyle name="40 % – Zvýraznění3" xfId="31"/>
    <cellStyle name="40 % – Zvýraznění4" xfId="32"/>
    <cellStyle name="40 % – Zvýraznění5" xfId="33"/>
    <cellStyle name="40 % – Zvýraznění6" xfId="34"/>
    <cellStyle name="60 % – Zvýraznění1" xfId="35"/>
    <cellStyle name="60 % – Zvýraznění2" xfId="36"/>
    <cellStyle name="60 % – Zvýraznění3" xfId="37"/>
    <cellStyle name="60 % – Zvýraznění4" xfId="38"/>
    <cellStyle name="60 % – Zvýraznění5" xfId="39"/>
    <cellStyle name="60 % – Zvýraznění6" xfId="40"/>
    <cellStyle name="args.style" xfId="41"/>
    <cellStyle name="Calc Currency (0)" xfId="42"/>
    <cellStyle name="Calc Currency (0) 2" xfId="43"/>
    <cellStyle name="Calc Currency (2)" xfId="44"/>
    <cellStyle name="Calc Percent (0)" xfId="45"/>
    <cellStyle name="Calc Percent (1)" xfId="46"/>
    <cellStyle name="Calc Percent (1) 2" xfId="47"/>
    <cellStyle name="Calc Percent (2)" xfId="48"/>
    <cellStyle name="Calc Percent (2) 2" xfId="49"/>
    <cellStyle name="Calc Units (0)" xfId="50"/>
    <cellStyle name="Calc Units (1)" xfId="51"/>
    <cellStyle name="Calc Units (2)" xfId="52"/>
    <cellStyle name="Celkem" xfId="53"/>
    <cellStyle name="Cena" xfId="54"/>
    <cellStyle name="Comma [0]_!!!GO" xfId="55"/>
    <cellStyle name="Comma [00]" xfId="56"/>
    <cellStyle name="Comma_!!!GO" xfId="57"/>
    <cellStyle name="Copied" xfId="58"/>
    <cellStyle name="COST1" xfId="59"/>
    <cellStyle name="Currency [0]_!!!GO" xfId="60"/>
    <cellStyle name="Currency [00]" xfId="61"/>
    <cellStyle name="Currency_!!!GO" xfId="62"/>
    <cellStyle name="Comma" xfId="63"/>
    <cellStyle name="Čárka 2" xfId="64"/>
    <cellStyle name="Čárka 2 2" xfId="65"/>
    <cellStyle name="Čárka 2 2 2" xfId="66"/>
    <cellStyle name="Čárka 2 2 3" xfId="67"/>
    <cellStyle name="Čárka 2 2 4" xfId="68"/>
    <cellStyle name="Čárka 2 3" xfId="69"/>
    <cellStyle name="Čárka 2 4" xfId="70"/>
    <cellStyle name="Čárka 2 5" xfId="71"/>
    <cellStyle name="Comma [0]" xfId="72"/>
    <cellStyle name="Date Short" xfId="73"/>
    <cellStyle name="Dezimal [0]_Tabelle1" xfId="74"/>
    <cellStyle name="Dezimal_Tabelle1" xfId="75"/>
    <cellStyle name="Enter Currency (0)" xfId="76"/>
    <cellStyle name="Enter Currency (2)" xfId="77"/>
    <cellStyle name="Enter Units (0)" xfId="78"/>
    <cellStyle name="Enter Units (1)" xfId="79"/>
    <cellStyle name="Enter Units (2)" xfId="80"/>
    <cellStyle name="Entered" xfId="81"/>
    <cellStyle name="Firma" xfId="82"/>
    <cellStyle name="Grey" xfId="83"/>
    <cellStyle name="Header1" xfId="84"/>
    <cellStyle name="Header2" xfId="85"/>
    <cellStyle name="Hlavní nadpis" xfId="86"/>
    <cellStyle name="Hlavní nadpis 2" xfId="87"/>
    <cellStyle name="Hyperlink" xfId="88"/>
    <cellStyle name="Hyperlink" xfId="89"/>
    <cellStyle name="Hypertextový odkaz 2" xfId="90"/>
    <cellStyle name="Hypertextový odkaz 2 2" xfId="91"/>
    <cellStyle name="Hypertextový odkaz 2 2 2" xfId="92"/>
    <cellStyle name="Hypertextový odkaz 2 3" xfId="93"/>
    <cellStyle name="Hypertextový odkaz 3" xfId="94"/>
    <cellStyle name="Hypertextový odkaz 4" xfId="95"/>
    <cellStyle name="Hypertextový odkaz 4 2" xfId="96"/>
    <cellStyle name="Hypertextový odkaz 4 3" xfId="97"/>
    <cellStyle name="Hypertextový odkaz 5" xfId="98"/>
    <cellStyle name="Chybně" xfId="99"/>
    <cellStyle name="Chybně 2" xfId="100"/>
    <cellStyle name="Input [yellow]" xfId="101"/>
    <cellStyle name="Input Cells" xfId="102"/>
    <cellStyle name="Kapitola" xfId="103"/>
    <cellStyle name="Kontrolní buňka" xfId="104"/>
    <cellStyle name="lehký dolní okraj" xfId="105"/>
    <cellStyle name="Link Currency (0)" xfId="106"/>
    <cellStyle name="Link Currency (2)" xfId="107"/>
    <cellStyle name="Link Units (0)" xfId="108"/>
    <cellStyle name="Link Units (1)" xfId="109"/>
    <cellStyle name="Link Units (2)" xfId="110"/>
    <cellStyle name="Linked Cells" xfId="111"/>
    <cellStyle name="Currency" xfId="112"/>
    <cellStyle name="Měna 2" xfId="113"/>
    <cellStyle name="Měna 2 2" xfId="114"/>
    <cellStyle name="Měna 2 2 2" xfId="115"/>
    <cellStyle name="Měna 2 2 2 2" xfId="116"/>
    <cellStyle name="Měna 2 2 2 3" xfId="117"/>
    <cellStyle name="Měna 2 2 2 4" xfId="118"/>
    <cellStyle name="Měna 2 2 3" xfId="119"/>
    <cellStyle name="Měna 2 2 4" xfId="120"/>
    <cellStyle name="Měna 2 2 5" xfId="121"/>
    <cellStyle name="Měna 2 3" xfId="122"/>
    <cellStyle name="Měna 2 3 2" xfId="123"/>
    <cellStyle name="Měna 2 3 3" xfId="124"/>
    <cellStyle name="Měna 2 3 4" xfId="125"/>
    <cellStyle name="Měna 2 4" xfId="126"/>
    <cellStyle name="Měna 2 5" xfId="127"/>
    <cellStyle name="Měna 2 6" xfId="128"/>
    <cellStyle name="Měna 3" xfId="129"/>
    <cellStyle name="Měna 3 2" xfId="130"/>
    <cellStyle name="Měna 3 2 2" xfId="131"/>
    <cellStyle name="Měna 3 2 3" xfId="132"/>
    <cellStyle name="Měna 3 2 4" xfId="133"/>
    <cellStyle name="Měna 3 3" xfId="134"/>
    <cellStyle name="Měna 3 4" xfId="135"/>
    <cellStyle name="Měna 3 5" xfId="136"/>
    <cellStyle name="Měna 4" xfId="137"/>
    <cellStyle name="Měna 4 2" xfId="138"/>
    <cellStyle name="Měna 4 2 2" xfId="139"/>
    <cellStyle name="Měna 4 2 3" xfId="140"/>
    <cellStyle name="Měna 4 2 4" xfId="141"/>
    <cellStyle name="Měna 4 3" xfId="142"/>
    <cellStyle name="Měna 4 4" xfId="143"/>
    <cellStyle name="Měna 4 5" xfId="144"/>
    <cellStyle name="Měna 5" xfId="145"/>
    <cellStyle name="Měna 5 2" xfId="146"/>
    <cellStyle name="Měna 5 2 2" xfId="147"/>
    <cellStyle name="Měna 5 3" xfId="148"/>
    <cellStyle name="Měna 5 4" xfId="149"/>
    <cellStyle name="Měna 6" xfId="150"/>
    <cellStyle name="Měna 6 2" xfId="151"/>
    <cellStyle name="Měna 7" xfId="152"/>
    <cellStyle name="Currency [0]" xfId="153"/>
    <cellStyle name="Milliers [0]_!!!GO" xfId="154"/>
    <cellStyle name="Milliers_!!!GO" xfId="155"/>
    <cellStyle name="Monétaire [0]_!!!GO" xfId="156"/>
    <cellStyle name="Monétaire_!!!GO" xfId="157"/>
    <cellStyle name="muj" xfId="158"/>
    <cellStyle name="Nadpis 1" xfId="159"/>
    <cellStyle name="Nadpis 2" xfId="160"/>
    <cellStyle name="Nadpis 3" xfId="161"/>
    <cellStyle name="Nadpis 4" xfId="162"/>
    <cellStyle name="Název" xfId="163"/>
    <cellStyle name="Název 2" xfId="164"/>
    <cellStyle name="Neutrální" xfId="165"/>
    <cellStyle name="no dec" xfId="166"/>
    <cellStyle name="normal" xfId="167"/>
    <cellStyle name="Normal - Style1" xfId="168"/>
    <cellStyle name="Normal_!!!GO" xfId="169"/>
    <cellStyle name="Normální 10" xfId="170"/>
    <cellStyle name="Normální 10 2" xfId="171"/>
    <cellStyle name="Normální 10 3" xfId="172"/>
    <cellStyle name="Normální 11" xfId="173"/>
    <cellStyle name="Normální 11 2" xfId="174"/>
    <cellStyle name="Normální 11 3" xfId="175"/>
    <cellStyle name="Normální 12" xfId="176"/>
    <cellStyle name="Normální 12 2" xfId="177"/>
    <cellStyle name="Normální 13" xfId="178"/>
    <cellStyle name="Normální 13 2" xfId="179"/>
    <cellStyle name="Normální 14" xfId="180"/>
    <cellStyle name="Normální 14 2" xfId="181"/>
    <cellStyle name="Normální 14 2 2" xfId="182"/>
    <cellStyle name="Normální 14 3" xfId="183"/>
    <cellStyle name="Normální 15" xfId="184"/>
    <cellStyle name="Normální 16" xfId="185"/>
    <cellStyle name="Normální 2" xfId="186"/>
    <cellStyle name="Normální 2 10" xfId="187"/>
    <cellStyle name="Normální 2 2" xfId="188"/>
    <cellStyle name="Normální 2 2 2" xfId="189"/>
    <cellStyle name="Normální 2 3" xfId="190"/>
    <cellStyle name="normální 2 4" xfId="191"/>
    <cellStyle name="normální 2 4 2" xfId="192"/>
    <cellStyle name="Normální 2 5" xfId="193"/>
    <cellStyle name="Normální 2 6" xfId="194"/>
    <cellStyle name="Normální 2 7" xfId="195"/>
    <cellStyle name="Normální 2 8" xfId="196"/>
    <cellStyle name="Normální 2 9" xfId="197"/>
    <cellStyle name="Normální 3" xfId="198"/>
    <cellStyle name="Normální 3 10" xfId="199"/>
    <cellStyle name="Normální 3 2" xfId="200"/>
    <cellStyle name="normální 3 2 2" xfId="201"/>
    <cellStyle name="Normální 3 3" xfId="202"/>
    <cellStyle name="Normální 3 3 2" xfId="203"/>
    <cellStyle name="Normální 3 4" xfId="204"/>
    <cellStyle name="normální 3 5" xfId="205"/>
    <cellStyle name="Normální 3 6" xfId="206"/>
    <cellStyle name="Normální 3 7" xfId="207"/>
    <cellStyle name="Normální 3 8" xfId="208"/>
    <cellStyle name="Normální 3 9" xfId="209"/>
    <cellStyle name="Normální 4" xfId="210"/>
    <cellStyle name="normální 4 2" xfId="211"/>
    <cellStyle name="Normální 4 3" xfId="212"/>
    <cellStyle name="Normální 4 4" xfId="213"/>
    <cellStyle name="Normální 4 5" xfId="214"/>
    <cellStyle name="Normální 4 6" xfId="215"/>
    <cellStyle name="Normální 4 7" xfId="216"/>
    <cellStyle name="Normální 5" xfId="217"/>
    <cellStyle name="Normální 5 2" xfId="218"/>
    <cellStyle name="Normální 5 2 2" xfId="219"/>
    <cellStyle name="Normální 5 3" xfId="220"/>
    <cellStyle name="Normální 5 3 2" xfId="221"/>
    <cellStyle name="Normální 5 4" xfId="222"/>
    <cellStyle name="Normální 5 4 2" xfId="223"/>
    <cellStyle name="normální 5 5" xfId="224"/>
    <cellStyle name="normální 5 5 2" xfId="225"/>
    <cellStyle name="Normální 5 6" xfId="226"/>
    <cellStyle name="Normální 6" xfId="227"/>
    <cellStyle name="normální 6 2" xfId="228"/>
    <cellStyle name="Normální 6 3" xfId="229"/>
    <cellStyle name="Normální 6 4" xfId="230"/>
    <cellStyle name="Normální 6 5" xfId="231"/>
    <cellStyle name="Normální 6 6" xfId="232"/>
    <cellStyle name="Normální 7" xfId="233"/>
    <cellStyle name="normální 7 2" xfId="234"/>
    <cellStyle name="Normální 7 3" xfId="235"/>
    <cellStyle name="Normální 7 4" xfId="236"/>
    <cellStyle name="Normální 7 5" xfId="237"/>
    <cellStyle name="Normální 7 6" xfId="238"/>
    <cellStyle name="Normální 8" xfId="239"/>
    <cellStyle name="Normální 8 2" xfId="240"/>
    <cellStyle name="Normální 8 3" xfId="241"/>
    <cellStyle name="Normální 9" xfId="242"/>
    <cellStyle name="Normální 9 2" xfId="243"/>
    <cellStyle name="Normální 9 3" xfId="244"/>
    <cellStyle name="normální_POL.XLS" xfId="245"/>
    <cellStyle name="normální_REKAPITULACE" xfId="246"/>
    <cellStyle name="Normalny_June 1997_1" xfId="247"/>
    <cellStyle name="O…‹aO‚e [0.00]_Region Orders (2)" xfId="248"/>
    <cellStyle name="O…‹aO‚e_Region Orders (2)" xfId="249"/>
    <cellStyle name="per.style" xfId="250"/>
    <cellStyle name="Percent [0]" xfId="251"/>
    <cellStyle name="Percent [0] 2" xfId="252"/>
    <cellStyle name="Percent [00]" xfId="253"/>
    <cellStyle name="Percent [2]" xfId="254"/>
    <cellStyle name="Percent [2] 2" xfId="255"/>
    <cellStyle name="Percent_#6 Temps &amp; Contractors" xfId="256"/>
    <cellStyle name="Podnadpis" xfId="257"/>
    <cellStyle name="Podnadpis 2" xfId="258"/>
    <cellStyle name="Podnadpis 3" xfId="259"/>
    <cellStyle name="Polozka" xfId="260"/>
    <cellStyle name="Followed Hyperlink" xfId="261"/>
    <cellStyle name="Poznámka" xfId="262"/>
    <cellStyle name="Poznámka 2" xfId="263"/>
    <cellStyle name="Poznámka 2 2" xfId="264"/>
    <cellStyle name="Poznámka 2 2 2" xfId="265"/>
    <cellStyle name="Poznámka 2 2 2 2" xfId="266"/>
    <cellStyle name="Poznámka 2 2 3" xfId="267"/>
    <cellStyle name="Poznámka 2 3" xfId="268"/>
    <cellStyle name="Poznámka 2 4" xfId="269"/>
    <cellStyle name="Poznámka 3" xfId="270"/>
    <cellStyle name="Poznámka 3 2" xfId="271"/>
    <cellStyle name="PrePop Currency (0)" xfId="272"/>
    <cellStyle name="PrePop Currency (2)" xfId="273"/>
    <cellStyle name="PrePop Units (0)" xfId="274"/>
    <cellStyle name="PrePop Units (1)" xfId="275"/>
    <cellStyle name="PrePop Units (2)" xfId="276"/>
    <cellStyle name="pricing" xfId="277"/>
    <cellStyle name="pricing 2" xfId="278"/>
    <cellStyle name="Percent" xfId="279"/>
    <cellStyle name="Procenta 2" xfId="280"/>
    <cellStyle name="Procenta 2 2" xfId="281"/>
    <cellStyle name="Propojená buňka" xfId="282"/>
    <cellStyle name="PSChar" xfId="283"/>
    <cellStyle name="RevList" xfId="284"/>
    <cellStyle name="Správně" xfId="285"/>
    <cellStyle name="Standard_Tabelle1" xfId="286"/>
    <cellStyle name="Stín+tučně" xfId="287"/>
    <cellStyle name="Stín+tučně+velké písmo" xfId="288"/>
    <cellStyle name="Styl 1" xfId="289"/>
    <cellStyle name="Subtotal" xfId="290"/>
    <cellStyle name="Text Indent A" xfId="291"/>
    <cellStyle name="Text Indent B" xfId="292"/>
    <cellStyle name="Text Indent B 2" xfId="293"/>
    <cellStyle name="Text Indent C" xfId="294"/>
    <cellStyle name="Text Indent C 2" xfId="295"/>
    <cellStyle name="Text upozornění" xfId="296"/>
    <cellStyle name="Tučně" xfId="297"/>
    <cellStyle name="TYP ŘÁDKU_4(sloupceJ-L)" xfId="298"/>
    <cellStyle name="Vstup" xfId="299"/>
    <cellStyle name="výkaz výměr" xfId="300"/>
    <cellStyle name="Výpočet" xfId="301"/>
    <cellStyle name="Výstup" xfId="302"/>
    <cellStyle name="Vysvětlující text" xfId="303"/>
    <cellStyle name="Währung [0]_Tabelle1" xfId="304"/>
    <cellStyle name="Währung_Tabelle1" xfId="305"/>
    <cellStyle name="základní" xfId="306"/>
    <cellStyle name="zbozi_c" xfId="307"/>
    <cellStyle name="Zvýraznění 1" xfId="308"/>
    <cellStyle name="Zvýraznění 2" xfId="309"/>
    <cellStyle name="Zvýraznění 3" xfId="310"/>
    <cellStyle name="Zvýraznění 4" xfId="311"/>
    <cellStyle name="Zvýraznění 5" xfId="312"/>
    <cellStyle name="Zvýraznění 6" xfId="3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vby\Nemocnice_Zabreh\PD\Rozpocet\Verze_20151109\SO%2007%20P&#345;&#237;pojka%20vodovod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vby\Nemocnice_Zabreh\PD\Rozpocet\Verze_20151109\EPS_rozpocet_ce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ng.%20Jan%20Langer\Documents\PROJEKTY\1]%20SANATORIUM\01]%20PD\REALIZA&#268;N&#205;\REKONSTRUKCE%2001-2017\Sanatorium%20Zabreh_rozpocet_20170106_OCEN&#282;N&#2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Ing.%20Jan%20Langer\Documents\PROJEKTY\1]%20SANATORIUM\02]%20VV\NOV&#221;%20STAV\Sanatorium%20Zabreh_rozpocet_20170214_TZ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ožk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ložkov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SO 101 Stavebni"/>
      <sheetName val="ZTI-UT"/>
      <sheetName val="Elektro"/>
      <sheetName val="EPS"/>
      <sheetName val="SLB"/>
      <sheetName val="SLB-KOM"/>
      <sheetName val="VZT"/>
      <sheetName val="SO 102"/>
      <sheetName val="SO 103"/>
      <sheetName val="SO 104"/>
      <sheetName val="SO 107"/>
      <sheetName val="SO 108"/>
      <sheetName val="SO 110"/>
      <sheetName val="VRN"/>
      <sheetName val="VRN-komentář"/>
      <sheetName val="Rozpočet-poznámk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ZTI"/>
      <sheetName val="EPS"/>
      <sheetName val="ElektroVR"/>
      <sheetName val="Elektro_ostatni"/>
      <sheetName val="SLB"/>
      <sheetName val="SLB-K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0"/>
  <sheetViews>
    <sheetView tabSelected="1" view="pageBreakPreview" zoomScaleSheetLayoutView="100" zoomScalePageLayoutView="0" workbookViewId="0" topLeftCell="A3">
      <selection activeCell="B33" sqref="B33"/>
    </sheetView>
  </sheetViews>
  <sheetFormatPr defaultColWidth="9.00390625" defaultRowHeight="12.75" outlineLevelRow="1"/>
  <cols>
    <col min="1" max="1" width="86.125" style="36" customWidth="1"/>
    <col min="2" max="2" width="16.25390625" style="36" customWidth="1"/>
    <col min="3" max="3" width="14.75390625" style="0" customWidth="1"/>
    <col min="4" max="4" width="15.125" style="0" customWidth="1"/>
    <col min="5" max="5" width="21.375" style="0" customWidth="1"/>
    <col min="6" max="6" width="14.25390625" style="0" customWidth="1"/>
    <col min="7" max="7" width="15.875" style="0" customWidth="1"/>
  </cols>
  <sheetData>
    <row r="1" spans="1:4" ht="15.75">
      <c r="A1" s="55" t="s">
        <v>221</v>
      </c>
      <c r="B1" s="56"/>
      <c r="C1" s="56"/>
      <c r="D1" s="56"/>
    </row>
    <row r="2" spans="1:4" s="8" customFormat="1" ht="15.75">
      <c r="A2" s="57" t="s">
        <v>1169</v>
      </c>
      <c r="B2" s="56"/>
      <c r="C2" s="56"/>
      <c r="D2" s="56"/>
    </row>
    <row r="3" spans="1:4" s="8" customFormat="1" ht="15.75">
      <c r="A3" s="57"/>
      <c r="B3" s="56"/>
      <c r="C3" s="56"/>
      <c r="D3" s="56"/>
    </row>
    <row r="4" spans="1:4" s="8" customFormat="1" ht="15.75">
      <c r="A4" s="55" t="s">
        <v>222</v>
      </c>
      <c r="B4" s="56"/>
      <c r="C4" s="56"/>
      <c r="D4" s="56"/>
    </row>
    <row r="5" spans="1:4" ht="15.75">
      <c r="A5" s="58" t="s">
        <v>223</v>
      </c>
      <c r="B5" s="56"/>
      <c r="C5" s="56"/>
      <c r="D5" s="56"/>
    </row>
    <row r="6" spans="1:4" ht="15.75">
      <c r="A6" s="218" t="s">
        <v>224</v>
      </c>
      <c r="B6" s="56"/>
      <c r="C6" s="56"/>
      <c r="D6" s="56"/>
    </row>
    <row r="7" spans="1:5" ht="15.75">
      <c r="A7" s="218" t="s">
        <v>453</v>
      </c>
      <c r="B7" s="56"/>
      <c r="C7" s="56"/>
      <c r="D7" s="56"/>
      <c r="E7" s="9"/>
    </row>
    <row r="8" spans="1:4" ht="15.75">
      <c r="A8" s="57"/>
      <c r="B8" s="56"/>
      <c r="C8" s="56"/>
      <c r="D8" s="56"/>
    </row>
    <row r="9" spans="1:4" ht="13.5" thickBot="1">
      <c r="A9" s="59" t="s">
        <v>31</v>
      </c>
      <c r="B9" s="59" t="s">
        <v>1731</v>
      </c>
      <c r="C9" s="59" t="s">
        <v>1735</v>
      </c>
      <c r="D9" s="59" t="s">
        <v>1736</v>
      </c>
    </row>
    <row r="10" spans="1:4" ht="12.75">
      <c r="A10" s="60"/>
      <c r="B10" s="61"/>
      <c r="C10" s="61"/>
      <c r="D10" s="61"/>
    </row>
    <row r="11" spans="1:4" ht="12.75">
      <c r="A11" s="62" t="s">
        <v>415</v>
      </c>
      <c r="B11" s="231">
        <f>SUM(B12:B28)</f>
        <v>0</v>
      </c>
      <c r="C11" s="231">
        <f>SUM(C12:C28)</f>
        <v>0</v>
      </c>
      <c r="D11" s="231">
        <f>SUM(D12:D28)</f>
        <v>0</v>
      </c>
    </row>
    <row r="12" spans="1:4" ht="12.75">
      <c r="A12" s="63" t="s">
        <v>1116</v>
      </c>
      <c r="B12" s="64">
        <f>'SO 101 Stavebni_REK'!G8</f>
        <v>0</v>
      </c>
      <c r="C12" s="64">
        <f>'SO 101 Stavebni_REK'!H8</f>
        <v>0</v>
      </c>
      <c r="D12" s="64">
        <f>'SO 101 Stavebni_REK'!I8</f>
        <v>0</v>
      </c>
    </row>
    <row r="13" spans="1:4" ht="12.75">
      <c r="A13" s="63" t="s">
        <v>1145</v>
      </c>
      <c r="B13" s="64">
        <f>'SO 101 Stavebni_REK'!G37</f>
        <v>0</v>
      </c>
      <c r="C13" s="64">
        <f>'SO 101 Stavebni_REK'!H37</f>
        <v>0</v>
      </c>
      <c r="D13" s="64">
        <f>'SO 101 Stavebni_REK'!I37</f>
        <v>0</v>
      </c>
    </row>
    <row r="14" spans="1:4" ht="12.75" outlineLevel="1">
      <c r="A14" s="63" t="s">
        <v>352</v>
      </c>
      <c r="B14" s="64">
        <f>'SO 101 Stavebni_REK'!G55</f>
        <v>0</v>
      </c>
      <c r="C14" s="64">
        <f>'SO 101 Stavebni_REK'!H55</f>
        <v>0</v>
      </c>
      <c r="D14" s="64">
        <f>'SO 101 Stavebni_REK'!I55</f>
        <v>0</v>
      </c>
    </row>
    <row r="15" spans="1:4" ht="12.75" outlineLevel="1">
      <c r="A15" s="63" t="s">
        <v>987</v>
      </c>
      <c r="B15" s="64">
        <f>'SO 101 Stavebni_REK'!G484</f>
        <v>0</v>
      </c>
      <c r="C15" s="64">
        <f>'SO 101 Stavebni_REK'!H484</f>
        <v>0</v>
      </c>
      <c r="D15" s="64">
        <f>'SO 101 Stavebni_REK'!I484</f>
        <v>0</v>
      </c>
    </row>
    <row r="16" spans="1:4" ht="12.75" outlineLevel="1">
      <c r="A16" s="63" t="s">
        <v>992</v>
      </c>
      <c r="B16" s="64">
        <f>'SO 101 Stavebni_REK'!G505</f>
        <v>0</v>
      </c>
      <c r="C16" s="64">
        <f>'SO 101 Stavebni_REK'!H505</f>
        <v>0</v>
      </c>
      <c r="D16" s="64">
        <f>'SO 101 Stavebni_REK'!I505</f>
        <v>0</v>
      </c>
    </row>
    <row r="17" spans="1:4" ht="12.75" outlineLevel="1">
      <c r="A17" s="63" t="s">
        <v>604</v>
      </c>
      <c r="B17" s="64">
        <f>'SO 101 Stavebni_REK'!G507</f>
        <v>0</v>
      </c>
      <c r="C17" s="64">
        <f>'SO 101 Stavebni_REK'!H507</f>
        <v>0</v>
      </c>
      <c r="D17" s="64">
        <f>'SO 101 Stavebni_REK'!I507</f>
        <v>0</v>
      </c>
    </row>
    <row r="18" spans="1:7" ht="12.75" outlineLevel="1">
      <c r="A18" s="63" t="s">
        <v>1078</v>
      </c>
      <c r="B18" s="64">
        <f>'SO 101 Stavebni_REK'!G523</f>
        <v>0</v>
      </c>
      <c r="C18" s="64">
        <f>'SO 101 Stavebni_REK'!H523</f>
        <v>0</v>
      </c>
      <c r="D18" s="64">
        <f>'SO 101 Stavebni_REK'!I523</f>
        <v>0</v>
      </c>
      <c r="E18" s="376"/>
      <c r="G18" s="376"/>
    </row>
    <row r="19" spans="1:4" ht="12.75" outlineLevel="1">
      <c r="A19" s="352" t="s">
        <v>386</v>
      </c>
      <c r="B19" s="64">
        <f>'SO 101 Stavebni_REK'!G525</f>
        <v>0</v>
      </c>
      <c r="C19" s="64">
        <f>'SO 101 Stavebni_REK'!H525</f>
        <v>0</v>
      </c>
      <c r="D19" s="64">
        <f>'SO 101 Stavebni_REK'!I525</f>
        <v>0</v>
      </c>
    </row>
    <row r="20" spans="1:4" ht="12.75" outlineLevel="1">
      <c r="A20" s="352" t="s">
        <v>383</v>
      </c>
      <c r="B20" s="64">
        <f>'SO 101 Stavebni_REK'!G527</f>
        <v>0</v>
      </c>
      <c r="C20" s="64">
        <f>'SO 101 Stavebni_REK'!H527</f>
        <v>0</v>
      </c>
      <c r="D20" s="64">
        <f>'SO 101 Stavebni_REK'!I527</f>
        <v>0</v>
      </c>
    </row>
    <row r="21" spans="1:4" ht="12.75" outlineLevel="1">
      <c r="A21" s="63" t="s">
        <v>358</v>
      </c>
      <c r="B21" s="64">
        <f>'SO 101 Stavebni_REK'!G530</f>
        <v>0</v>
      </c>
      <c r="C21" s="64">
        <f>'SO 101 Stavebni_REK'!H530</f>
        <v>0</v>
      </c>
      <c r="D21" s="64">
        <f>'SO 101 Stavebni_REK'!I530</f>
        <v>0</v>
      </c>
    </row>
    <row r="22" spans="1:4" ht="12.75" outlineLevel="1">
      <c r="A22" s="63" t="s">
        <v>612</v>
      </c>
      <c r="B22" s="64">
        <f>'SO 101 Stavebni_REK'!G564</f>
        <v>0</v>
      </c>
      <c r="C22" s="64">
        <f>'SO 101 Stavebni_REK'!H564</f>
        <v>0</v>
      </c>
      <c r="D22" s="64">
        <f>'SO 101 Stavebni_REK'!I564</f>
        <v>0</v>
      </c>
    </row>
    <row r="23" spans="1:4" ht="12.75" outlineLevel="1">
      <c r="A23" s="63" t="s">
        <v>226</v>
      </c>
      <c r="B23" s="64">
        <f>'SO 101 Stavebni_REK'!G594</f>
        <v>0</v>
      </c>
      <c r="C23" s="64">
        <f>'SO 101 Stavebni_REK'!H594</f>
        <v>0</v>
      </c>
      <c r="D23" s="64">
        <f>'SO 101 Stavebni_REK'!I594</f>
        <v>0</v>
      </c>
    </row>
    <row r="24" spans="1:4" ht="12.75" outlineLevel="1">
      <c r="A24" s="63" t="s">
        <v>643</v>
      </c>
      <c r="B24" s="64">
        <f>'SO 101 Stavebni_REK'!G612</f>
        <v>0</v>
      </c>
      <c r="C24" s="64">
        <f>'SO 101 Stavebni_REK'!H612</f>
        <v>0</v>
      </c>
      <c r="D24" s="64">
        <f>'SO 101 Stavebni_REK'!I612</f>
        <v>0</v>
      </c>
    </row>
    <row r="25" spans="1:4" ht="12.75" outlineLevel="1">
      <c r="A25" s="63" t="s">
        <v>369</v>
      </c>
      <c r="B25" s="64">
        <f>'SO 101 Stavebni_REK'!G637</f>
        <v>0</v>
      </c>
      <c r="C25" s="64">
        <f>'SO 101 Stavebni_REK'!H637</f>
        <v>0</v>
      </c>
      <c r="D25" s="64">
        <f>'SO 101 Stavebni_REK'!I637</f>
        <v>0</v>
      </c>
    </row>
    <row r="26" spans="1:4" ht="12.75" outlineLevel="1">
      <c r="A26" s="63" t="s">
        <v>656</v>
      </c>
      <c r="B26" s="64">
        <f>'SO 101 Stavebni_REK'!G715</f>
        <v>0</v>
      </c>
      <c r="C26" s="64">
        <f>'SO 101 Stavebni_REK'!H715</f>
        <v>0</v>
      </c>
      <c r="D26" s="64">
        <f>'SO 101 Stavebni_REK'!I715</f>
        <v>0</v>
      </c>
    </row>
    <row r="27" spans="1:4" ht="12.75" outlineLevel="1">
      <c r="A27" s="63" t="s">
        <v>408</v>
      </c>
      <c r="B27" s="64">
        <f>'SO 101 Stavebni_REK'!G750</f>
        <v>0</v>
      </c>
      <c r="C27" s="64">
        <f>'SO 101 Stavebni_REK'!H750</f>
        <v>0</v>
      </c>
      <c r="D27" s="64">
        <f>'SO 101 Stavebni_REK'!I750</f>
        <v>0</v>
      </c>
    </row>
    <row r="28" spans="1:4" ht="12.75" outlineLevel="1">
      <c r="A28" s="63" t="s">
        <v>385</v>
      </c>
      <c r="B28" s="64">
        <f>VRN!G26</f>
        <v>0</v>
      </c>
      <c r="C28" s="64">
        <f>VRN!H26</f>
        <v>0</v>
      </c>
      <c r="D28" s="64">
        <f>VRN!I26</f>
        <v>0</v>
      </c>
    </row>
    <row r="29" spans="1:4" ht="12.75">
      <c r="A29" s="62" t="s">
        <v>442</v>
      </c>
      <c r="B29" s="231">
        <f>SUM('SO 102'!G44)</f>
        <v>0</v>
      </c>
      <c r="C29" s="231">
        <f>'SO 102'!H44</f>
        <v>0</v>
      </c>
      <c r="D29" s="231">
        <f>'SO 102'!I44</f>
        <v>0</v>
      </c>
    </row>
    <row r="30" spans="1:4" ht="12.75">
      <c r="A30" s="62" t="s">
        <v>387</v>
      </c>
      <c r="B30" s="231">
        <f>SUM('SO 103'!G72)</f>
        <v>0</v>
      </c>
      <c r="C30" s="231">
        <f>'SO 103'!H72</f>
        <v>0</v>
      </c>
      <c r="D30" s="231">
        <f>'SO 103'!I72</f>
        <v>0</v>
      </c>
    </row>
    <row r="31" spans="1:4" ht="12.75">
      <c r="A31" s="62" t="s">
        <v>388</v>
      </c>
      <c r="B31" s="231">
        <f>SUM('SO 104'!G104)</f>
        <v>0</v>
      </c>
      <c r="C31" s="231">
        <f>'SO 104'!H104</f>
        <v>0</v>
      </c>
      <c r="D31" s="231">
        <f>'SO 104'!I104</f>
        <v>0</v>
      </c>
    </row>
    <row r="32" spans="1:4" ht="13.5" thickBot="1">
      <c r="A32" s="63"/>
      <c r="B32" s="64"/>
      <c r="C32" s="64"/>
      <c r="D32" s="64"/>
    </row>
    <row r="33" spans="1:4" ht="15">
      <c r="A33" s="65" t="s">
        <v>4</v>
      </c>
      <c r="B33" s="380">
        <f>SUM(B11+B29+B30+B31)</f>
        <v>0</v>
      </c>
      <c r="C33" s="380">
        <f>SUM(C11+C29+C30+C31)</f>
        <v>0</v>
      </c>
      <c r="D33" s="380">
        <f>SUM(D11+D29+D30+D31)</f>
        <v>0</v>
      </c>
    </row>
    <row r="34" spans="1:2" ht="15">
      <c r="A34" s="229"/>
      <c r="B34" s="230"/>
    </row>
    <row r="35" spans="1:2" ht="15">
      <c r="A35" s="229"/>
      <c r="B35" s="230"/>
    </row>
    <row r="36" spans="1:4" ht="50.25" customHeight="1">
      <c r="A36" s="517" t="s">
        <v>227</v>
      </c>
      <c r="B36" s="518"/>
      <c r="C36" s="518"/>
      <c r="D36" s="519"/>
    </row>
    <row r="37" spans="1:2" ht="13.5" thickBot="1">
      <c r="A37" s="55"/>
      <c r="B37" s="55"/>
    </row>
    <row r="38" spans="1:4" ht="13.5" thickBot="1">
      <c r="A38" s="520" t="s">
        <v>228</v>
      </c>
      <c r="B38" s="521"/>
      <c r="C38" s="521"/>
      <c r="D38" s="522"/>
    </row>
    <row r="39" spans="1:2" ht="12.75">
      <c r="A39" s="66"/>
      <c r="B39" s="1"/>
    </row>
    <row r="40" spans="1:2" ht="18" customHeight="1">
      <c r="A40" s="515" t="s">
        <v>229</v>
      </c>
      <c r="B40" s="516"/>
    </row>
    <row r="41" spans="1:2" ht="18" customHeight="1">
      <c r="A41" s="515" t="s">
        <v>230</v>
      </c>
      <c r="B41" s="516"/>
    </row>
    <row r="42" spans="1:2" ht="18" customHeight="1">
      <c r="A42" s="67" t="s">
        <v>231</v>
      </c>
      <c r="B42" s="68"/>
    </row>
    <row r="43" spans="1:2" ht="18" customHeight="1">
      <c r="A43" s="67" t="s">
        <v>232</v>
      </c>
      <c r="B43" s="68"/>
    </row>
    <row r="44" spans="1:2" ht="18" customHeight="1">
      <c r="A44" s="67" t="s">
        <v>233</v>
      </c>
      <c r="B44" s="68"/>
    </row>
    <row r="45" spans="1:2" ht="18" customHeight="1">
      <c r="A45" s="67" t="s">
        <v>234</v>
      </c>
      <c r="B45" s="68"/>
    </row>
    <row r="46" spans="1:2" ht="18" customHeight="1">
      <c r="A46" s="515" t="s">
        <v>235</v>
      </c>
      <c r="B46" s="516"/>
    </row>
    <row r="47" spans="1:2" ht="18" customHeight="1">
      <c r="A47" s="515" t="s">
        <v>236</v>
      </c>
      <c r="B47" s="516"/>
    </row>
    <row r="48" spans="1:2" ht="18" customHeight="1">
      <c r="A48" s="515" t="s">
        <v>237</v>
      </c>
      <c r="B48" s="516"/>
    </row>
    <row r="49" spans="1:2" ht="18" customHeight="1">
      <c r="A49" s="523"/>
      <c r="B49" s="523"/>
    </row>
    <row r="50" spans="1:2" ht="18" customHeight="1">
      <c r="A50" s="513" t="s">
        <v>454</v>
      </c>
      <c r="B50" s="514"/>
    </row>
  </sheetData>
  <sheetProtection/>
  <mergeCells count="9">
    <mergeCell ref="A50:B50"/>
    <mergeCell ref="A40:B40"/>
    <mergeCell ref="A41:B41"/>
    <mergeCell ref="A36:D36"/>
    <mergeCell ref="A38:D38"/>
    <mergeCell ref="A46:B46"/>
    <mergeCell ref="A47:B47"/>
    <mergeCell ref="A48:B48"/>
    <mergeCell ref="A49:B49"/>
  </mergeCells>
  <printOptions horizontalCentered="1"/>
  <pageMargins left="0.7874015748031497" right="0.7874015748031497" top="0.5905511811023623" bottom="0.3937007874015748" header="0.5118110236220472" footer="0.5118110236220472"/>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A36"/>
  <sheetViews>
    <sheetView showGridLines="0" showZeros="0" view="pageBreakPreview" zoomScale="85" zoomScaleSheetLayoutView="85" workbookViewId="0" topLeftCell="A1">
      <selection activeCell="A1" sqref="A1"/>
    </sheetView>
  </sheetViews>
  <sheetFormatPr defaultColWidth="9.00390625" defaultRowHeight="12.75"/>
  <cols>
    <col min="1" max="1" width="114.00390625" style="12" customWidth="1"/>
    <col min="2" max="16384" width="9.125" style="12" customWidth="1"/>
  </cols>
  <sheetData>
    <row r="1" ht="22.5" customHeight="1">
      <c r="A1" s="76" t="s">
        <v>56</v>
      </c>
    </row>
    <row r="2" ht="38.25">
      <c r="A2" s="77" t="s">
        <v>311</v>
      </c>
    </row>
    <row r="3" ht="51">
      <c r="A3" s="77" t="s">
        <v>312</v>
      </c>
    </row>
    <row r="4" ht="12.75">
      <c r="A4" s="78" t="s">
        <v>313</v>
      </c>
    </row>
    <row r="5" ht="12.75">
      <c r="A5" s="77" t="s">
        <v>314</v>
      </c>
    </row>
    <row r="6" ht="12.75">
      <c r="A6" s="78" t="s">
        <v>315</v>
      </c>
    </row>
    <row r="7" ht="12.75">
      <c r="A7" s="77" t="s">
        <v>316</v>
      </c>
    </row>
    <row r="8" ht="25.5">
      <c r="A8" s="77" t="s">
        <v>317</v>
      </c>
    </row>
    <row r="9" ht="12.75">
      <c r="A9" s="77" t="s">
        <v>318</v>
      </c>
    </row>
    <row r="10" ht="12.75">
      <c r="A10" s="77" t="s">
        <v>319</v>
      </c>
    </row>
    <row r="11" ht="51">
      <c r="A11" s="77" t="s">
        <v>320</v>
      </c>
    </row>
    <row r="12" ht="25.5">
      <c r="A12" s="77" t="s">
        <v>321</v>
      </c>
    </row>
    <row r="13" ht="25.5">
      <c r="A13" s="77" t="s">
        <v>322</v>
      </c>
    </row>
    <row r="14" ht="12.75">
      <c r="A14" s="77" t="s">
        <v>323</v>
      </c>
    </row>
    <row r="15" ht="12.75">
      <c r="A15" s="77" t="s">
        <v>324</v>
      </c>
    </row>
    <row r="16" ht="25.5">
      <c r="A16" s="77" t="s">
        <v>325</v>
      </c>
    </row>
    <row r="17" ht="25.5">
      <c r="A17" s="77" t="s">
        <v>326</v>
      </c>
    </row>
    <row r="18" ht="12.75">
      <c r="A18" s="77" t="s">
        <v>327</v>
      </c>
    </row>
    <row r="19" ht="38.25">
      <c r="A19" s="77" t="s">
        <v>328</v>
      </c>
    </row>
    <row r="20" ht="25.5">
      <c r="A20" s="77" t="s">
        <v>329</v>
      </c>
    </row>
    <row r="21" ht="25.5">
      <c r="A21" s="77" t="s">
        <v>330</v>
      </c>
    </row>
    <row r="22" ht="12.75">
      <c r="A22" s="77" t="s">
        <v>331</v>
      </c>
    </row>
    <row r="23" ht="12.75">
      <c r="A23" s="77" t="s">
        <v>332</v>
      </c>
    </row>
    <row r="24" ht="25.5">
      <c r="A24" s="77" t="s">
        <v>333</v>
      </c>
    </row>
    <row r="25" ht="12.75">
      <c r="A25" s="77" t="s">
        <v>334</v>
      </c>
    </row>
    <row r="26" ht="12.75">
      <c r="A26" s="77" t="s">
        <v>335</v>
      </c>
    </row>
    <row r="27" ht="12.75">
      <c r="A27" s="77" t="s">
        <v>336</v>
      </c>
    </row>
    <row r="28" ht="51">
      <c r="A28" s="77" t="s">
        <v>337</v>
      </c>
    </row>
    <row r="29" ht="38.25">
      <c r="A29" s="77" t="s">
        <v>338</v>
      </c>
    </row>
    <row r="30" ht="25.5">
      <c r="A30" s="77" t="s">
        <v>339</v>
      </c>
    </row>
    <row r="31" ht="12.75">
      <c r="A31" s="77" t="s">
        <v>340</v>
      </c>
    </row>
    <row r="32" ht="12.75">
      <c r="A32" s="77" t="s">
        <v>341</v>
      </c>
    </row>
    <row r="33" ht="12.75">
      <c r="A33" s="77" t="s">
        <v>443</v>
      </c>
    </row>
    <row r="34" ht="12.75">
      <c r="A34" s="77" t="s">
        <v>342</v>
      </c>
    </row>
    <row r="35" ht="35.25" customHeight="1">
      <c r="A35" s="77" t="s">
        <v>343</v>
      </c>
    </row>
    <row r="36" ht="12.75">
      <c r="A36" s="77"/>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A73"/>
  <sheetViews>
    <sheetView view="pageBreakPreview" zoomScale="85" zoomScaleSheetLayoutView="85" zoomScalePageLayoutView="0" workbookViewId="0" topLeftCell="A1">
      <selection activeCell="D10" sqref="D10"/>
    </sheetView>
  </sheetViews>
  <sheetFormatPr defaultColWidth="9.00390625" defaultRowHeight="12.75"/>
  <cols>
    <col min="1" max="1" width="122.125" style="75" customWidth="1"/>
  </cols>
  <sheetData>
    <row r="1" ht="12.75">
      <c r="A1" s="69" t="s">
        <v>238</v>
      </c>
    </row>
    <row r="2" s="8" customFormat="1" ht="49.5" customHeight="1">
      <c r="A2" s="70" t="s">
        <v>239</v>
      </c>
    </row>
    <row r="3" s="8" customFormat="1" ht="28.5" customHeight="1">
      <c r="A3" s="70" t="s">
        <v>240</v>
      </c>
    </row>
    <row r="4" ht="24" customHeight="1">
      <c r="A4" s="71" t="s">
        <v>241</v>
      </c>
    </row>
    <row r="5" ht="24" customHeight="1">
      <c r="A5" s="70" t="s">
        <v>242</v>
      </c>
    </row>
    <row r="6" ht="41.25" customHeight="1">
      <c r="A6" s="70" t="s">
        <v>243</v>
      </c>
    </row>
    <row r="7" ht="42.75" customHeight="1">
      <c r="A7" s="70" t="s">
        <v>244</v>
      </c>
    </row>
    <row r="8" ht="55.5" customHeight="1">
      <c r="A8" s="70" t="s">
        <v>245</v>
      </c>
    </row>
    <row r="9" ht="45" customHeight="1">
      <c r="A9" s="70" t="s">
        <v>246</v>
      </c>
    </row>
    <row r="10" ht="24" customHeight="1">
      <c r="A10" s="69" t="s">
        <v>247</v>
      </c>
    </row>
    <row r="11" ht="24" customHeight="1">
      <c r="A11" s="69" t="s">
        <v>248</v>
      </c>
    </row>
    <row r="12" s="10" customFormat="1" ht="24" customHeight="1">
      <c r="A12" s="72" t="s">
        <v>249</v>
      </c>
    </row>
    <row r="13" ht="24" customHeight="1">
      <c r="A13" s="69" t="s">
        <v>250</v>
      </c>
    </row>
    <row r="14" ht="24" customHeight="1">
      <c r="A14" s="72" t="s">
        <v>251</v>
      </c>
    </row>
    <row r="15" ht="24" customHeight="1">
      <c r="A15" s="69" t="s">
        <v>252</v>
      </c>
    </row>
    <row r="16" ht="24" customHeight="1">
      <c r="A16" s="72" t="s">
        <v>253</v>
      </c>
    </row>
    <row r="17" ht="35.25" customHeight="1">
      <c r="A17" s="72" t="s">
        <v>254</v>
      </c>
    </row>
    <row r="18" ht="52.5" customHeight="1">
      <c r="A18" s="72" t="s">
        <v>255</v>
      </c>
    </row>
    <row r="19" ht="29.25" customHeight="1">
      <c r="A19" s="73" t="s">
        <v>256</v>
      </c>
    </row>
    <row r="20" ht="24" customHeight="1">
      <c r="A20" s="69" t="s">
        <v>257</v>
      </c>
    </row>
    <row r="21" ht="24" customHeight="1">
      <c r="A21" s="69" t="s">
        <v>258</v>
      </c>
    </row>
    <row r="22" ht="41.25" customHeight="1">
      <c r="A22" s="72" t="s">
        <v>259</v>
      </c>
    </row>
    <row r="23" ht="21.75" customHeight="1">
      <c r="A23" s="69" t="s">
        <v>260</v>
      </c>
    </row>
    <row r="24" ht="41.25" customHeight="1">
      <c r="A24" s="72" t="s">
        <v>261</v>
      </c>
    </row>
    <row r="25" ht="24" customHeight="1">
      <c r="A25" s="69" t="s">
        <v>262</v>
      </c>
    </row>
    <row r="26" ht="55.5" customHeight="1">
      <c r="A26" s="72" t="s">
        <v>263</v>
      </c>
    </row>
    <row r="27" ht="24" customHeight="1">
      <c r="A27" s="69" t="s">
        <v>264</v>
      </c>
    </row>
    <row r="28" ht="24" customHeight="1">
      <c r="A28" s="69" t="s">
        <v>265</v>
      </c>
    </row>
    <row r="29" ht="24" customHeight="1">
      <c r="A29" s="72" t="s">
        <v>266</v>
      </c>
    </row>
    <row r="30" ht="24" customHeight="1">
      <c r="A30" s="69" t="s">
        <v>267</v>
      </c>
    </row>
    <row r="31" ht="54" customHeight="1">
      <c r="A31" s="74" t="s">
        <v>268</v>
      </c>
    </row>
    <row r="32" ht="24" customHeight="1">
      <c r="A32" s="69" t="s">
        <v>269</v>
      </c>
    </row>
    <row r="33" ht="24" customHeight="1">
      <c r="A33" s="74" t="s">
        <v>270</v>
      </c>
    </row>
    <row r="34" ht="24" customHeight="1">
      <c r="A34" s="69" t="s">
        <v>271</v>
      </c>
    </row>
    <row r="35" ht="24" customHeight="1">
      <c r="A35" s="69" t="s">
        <v>272</v>
      </c>
    </row>
    <row r="36" ht="43.5" customHeight="1">
      <c r="A36" s="72" t="s">
        <v>273</v>
      </c>
    </row>
    <row r="37" ht="24" customHeight="1">
      <c r="A37" s="69" t="s">
        <v>274</v>
      </c>
    </row>
    <row r="38" ht="24" customHeight="1">
      <c r="A38" s="72" t="s">
        <v>275</v>
      </c>
    </row>
    <row r="39" ht="24" customHeight="1">
      <c r="A39" s="69" t="s">
        <v>276</v>
      </c>
    </row>
    <row r="40" ht="24" customHeight="1">
      <c r="A40" s="72" t="s">
        <v>277</v>
      </c>
    </row>
    <row r="41" ht="24" customHeight="1">
      <c r="A41" s="69" t="s">
        <v>278</v>
      </c>
    </row>
    <row r="42" ht="24" customHeight="1">
      <c r="A42" s="72" t="s">
        <v>279</v>
      </c>
    </row>
    <row r="43" ht="24" customHeight="1">
      <c r="A43" s="72" t="s">
        <v>280</v>
      </c>
    </row>
    <row r="44" ht="24" customHeight="1">
      <c r="A44" s="72" t="s">
        <v>281</v>
      </c>
    </row>
    <row r="45" ht="24" customHeight="1">
      <c r="A45" s="72" t="s">
        <v>282</v>
      </c>
    </row>
    <row r="46" ht="126.75" customHeight="1">
      <c r="A46" s="72" t="s">
        <v>283</v>
      </c>
    </row>
    <row r="47" ht="24" customHeight="1">
      <c r="A47" s="72" t="s">
        <v>284</v>
      </c>
    </row>
    <row r="48" ht="116.25" customHeight="1">
      <c r="A48" s="72" t="s">
        <v>285</v>
      </c>
    </row>
    <row r="49" ht="65.25" customHeight="1">
      <c r="A49" s="72" t="s">
        <v>286</v>
      </c>
    </row>
    <row r="50" ht="24" customHeight="1">
      <c r="A50" s="72" t="s">
        <v>287</v>
      </c>
    </row>
    <row r="51" ht="69.75" customHeight="1">
      <c r="A51" s="72" t="s">
        <v>288</v>
      </c>
    </row>
    <row r="52" ht="24" customHeight="1">
      <c r="A52" s="69" t="s">
        <v>289</v>
      </c>
    </row>
    <row r="53" ht="54.75" customHeight="1">
      <c r="A53" s="72" t="s">
        <v>290</v>
      </c>
    </row>
    <row r="54" ht="24" customHeight="1">
      <c r="A54" s="72" t="s">
        <v>291</v>
      </c>
    </row>
    <row r="55" ht="24" customHeight="1">
      <c r="A55" s="72" t="s">
        <v>292</v>
      </c>
    </row>
    <row r="56" ht="24" customHeight="1">
      <c r="A56" s="69" t="s">
        <v>293</v>
      </c>
    </row>
    <row r="57" ht="24" customHeight="1">
      <c r="A57" s="72" t="s">
        <v>294</v>
      </c>
    </row>
    <row r="58" ht="24" customHeight="1">
      <c r="A58" s="72" t="s">
        <v>295</v>
      </c>
    </row>
    <row r="59" ht="24" customHeight="1">
      <c r="A59" s="74" t="s">
        <v>296</v>
      </c>
    </row>
    <row r="60" ht="24" customHeight="1">
      <c r="A60" s="72" t="s">
        <v>297</v>
      </c>
    </row>
    <row r="61" ht="24" customHeight="1">
      <c r="A61" s="74" t="s">
        <v>298</v>
      </c>
    </row>
    <row r="62" ht="24" customHeight="1">
      <c r="A62" s="69" t="s">
        <v>299</v>
      </c>
    </row>
    <row r="63" ht="24" customHeight="1">
      <c r="A63" s="72" t="s">
        <v>300</v>
      </c>
    </row>
    <row r="64" ht="24" customHeight="1">
      <c r="A64" s="69" t="s">
        <v>301</v>
      </c>
    </row>
    <row r="65" ht="24" customHeight="1">
      <c r="A65" s="69" t="s">
        <v>302</v>
      </c>
    </row>
    <row r="66" ht="35.25" customHeight="1">
      <c r="A66" s="72" t="s">
        <v>303</v>
      </c>
    </row>
    <row r="67" ht="24" customHeight="1">
      <c r="A67" s="69" t="s">
        <v>304</v>
      </c>
    </row>
    <row r="68" ht="30.75" customHeight="1">
      <c r="A68" s="72" t="s">
        <v>305</v>
      </c>
    </row>
    <row r="69" ht="24" customHeight="1">
      <c r="A69" s="69" t="s">
        <v>306</v>
      </c>
    </row>
    <row r="70" ht="24" customHeight="1">
      <c r="A70" s="69" t="s">
        <v>307</v>
      </c>
    </row>
    <row r="71" ht="24" customHeight="1">
      <c r="A71" s="72" t="s">
        <v>308</v>
      </c>
    </row>
    <row r="72" ht="12.75" customHeight="1">
      <c r="A72" s="69" t="s">
        <v>309</v>
      </c>
    </row>
    <row r="73" ht="82.5" customHeight="1">
      <c r="A73" s="74" t="s">
        <v>310</v>
      </c>
    </row>
  </sheetData>
  <sheetProtection/>
  <printOptions horizontalCentered="1"/>
  <pageMargins left="0.7874015748031497" right="0.7874015748031497" top="0.984251968503937" bottom="0.984251968503937" header="0.5118110236220472" footer="0.5118110236220472"/>
  <pageSetup fitToHeight="3" fitToWidth="1" horizontalDpi="600" verticalDpi="600" orientation="portrait" paperSize="9" scale="71"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W777"/>
  <sheetViews>
    <sheetView showGridLines="0" showZeros="0" view="pageBreakPreview" zoomScale="85" zoomScaleNormal="115" zoomScaleSheetLayoutView="85" workbookViewId="0" topLeftCell="A1">
      <selection activeCell="A1" sqref="A1:F1"/>
    </sheetView>
  </sheetViews>
  <sheetFormatPr defaultColWidth="9.00390625" defaultRowHeight="12.75" outlineLevelRow="2"/>
  <cols>
    <col min="1" max="1" width="5.625" style="1" customWidth="1"/>
    <col min="2" max="2" width="16.375" style="11" customWidth="1"/>
    <col min="3" max="3" width="83.375" style="0" customWidth="1"/>
    <col min="4" max="4" width="10.75390625" style="0" customWidth="1"/>
    <col min="5" max="5" width="17.00390625" style="40" customWidth="1"/>
    <col min="6" max="6" width="13.375" style="38" customWidth="1"/>
    <col min="7" max="9" width="14.75390625" style="0" customWidth="1"/>
    <col min="10" max="10" width="10.125" style="0" customWidth="1"/>
    <col min="11" max="11" width="10.25390625" style="0" customWidth="1"/>
    <col min="12" max="12" width="10.125" style="189" customWidth="1"/>
    <col min="13" max="13" width="8.625" style="189" customWidth="1"/>
    <col min="14" max="14" width="9.125" style="474" customWidth="1"/>
    <col min="15" max="18" width="9.125" style="189" customWidth="1"/>
  </cols>
  <sheetData>
    <row r="1" spans="1:18" s="1" customFormat="1" ht="22.5" customHeight="1">
      <c r="A1" s="524" t="s">
        <v>28</v>
      </c>
      <c r="B1" s="524"/>
      <c r="C1" s="524"/>
      <c r="D1" s="524"/>
      <c r="E1" s="524"/>
      <c r="F1" s="524"/>
      <c r="G1" s="48"/>
      <c r="H1" s="48"/>
      <c r="I1" s="48"/>
      <c r="J1" s="48"/>
      <c r="K1" s="48"/>
      <c r="L1" s="48"/>
      <c r="M1" s="48"/>
      <c r="N1" s="472"/>
      <c r="O1" s="7"/>
      <c r="P1" s="7"/>
      <c r="Q1" s="7"/>
      <c r="R1" s="7"/>
    </row>
    <row r="2" spans="1:18" s="1" customFormat="1" ht="11.25" customHeight="1">
      <c r="A2" s="400" t="s">
        <v>799</v>
      </c>
      <c r="B2" s="400"/>
      <c r="C2" s="401" t="s">
        <v>6</v>
      </c>
      <c r="D2" s="112"/>
      <c r="E2" s="138"/>
      <c r="F2" s="525"/>
      <c r="G2" s="525"/>
      <c r="H2" s="492"/>
      <c r="I2" s="492"/>
      <c r="J2" s="525"/>
      <c r="K2" s="525"/>
      <c r="L2" s="48"/>
      <c r="M2" s="48"/>
      <c r="N2" s="472"/>
      <c r="O2" s="7"/>
      <c r="P2" s="7"/>
      <c r="Q2" s="7"/>
      <c r="R2" s="7"/>
    </row>
    <row r="3" spans="1:14" s="7" customFormat="1" ht="11.25" customHeight="1">
      <c r="A3" s="48"/>
      <c r="B3" s="48"/>
      <c r="C3" s="48"/>
      <c r="D3" s="48"/>
      <c r="E3" s="139"/>
      <c r="F3" s="48"/>
      <c r="G3" s="48"/>
      <c r="H3" s="48"/>
      <c r="I3" s="48"/>
      <c r="J3" s="48"/>
      <c r="K3" s="48"/>
      <c r="L3" s="48"/>
      <c r="M3" s="48"/>
      <c r="N3" s="472"/>
    </row>
    <row r="4" spans="1:18" s="1" customFormat="1" ht="11.25" customHeight="1">
      <c r="A4" s="79" t="s">
        <v>344</v>
      </c>
      <c r="B4" s="79" t="s">
        <v>30</v>
      </c>
      <c r="C4" s="79" t="s">
        <v>31</v>
      </c>
      <c r="D4" s="79" t="s">
        <v>175</v>
      </c>
      <c r="E4" s="140" t="s">
        <v>345</v>
      </c>
      <c r="F4" s="79" t="s">
        <v>180</v>
      </c>
      <c r="G4" s="79" t="s">
        <v>1731</v>
      </c>
      <c r="H4" s="79" t="s">
        <v>1735</v>
      </c>
      <c r="I4" s="79" t="s">
        <v>1736</v>
      </c>
      <c r="J4" s="79" t="s">
        <v>346</v>
      </c>
      <c r="K4" s="79" t="s">
        <v>225</v>
      </c>
      <c r="L4" s="79" t="s">
        <v>347</v>
      </c>
      <c r="M4" s="79" t="s">
        <v>348</v>
      </c>
      <c r="N4" s="472"/>
      <c r="O4" s="7"/>
      <c r="P4" s="7"/>
      <c r="Q4" s="7"/>
      <c r="R4" s="7"/>
    </row>
    <row r="5" spans="1:18" s="1" customFormat="1" ht="11.25" customHeight="1">
      <c r="A5" s="80">
        <v>1</v>
      </c>
      <c r="B5" s="80">
        <v>2</v>
      </c>
      <c r="C5" s="80">
        <v>3</v>
      </c>
      <c r="D5" s="80">
        <v>4</v>
      </c>
      <c r="E5" s="228">
        <v>5</v>
      </c>
      <c r="F5" s="80">
        <v>6</v>
      </c>
      <c r="G5" s="80">
        <v>7</v>
      </c>
      <c r="H5" s="80">
        <v>8</v>
      </c>
      <c r="I5" s="80">
        <v>9</v>
      </c>
      <c r="J5" s="80">
        <v>10</v>
      </c>
      <c r="K5" s="80">
        <v>11</v>
      </c>
      <c r="L5" s="80">
        <v>12</v>
      </c>
      <c r="M5" s="80">
        <v>13</v>
      </c>
      <c r="N5" s="472"/>
      <c r="O5" s="7"/>
      <c r="P5" s="7"/>
      <c r="Q5" s="7"/>
      <c r="R5" s="7"/>
    </row>
    <row r="7" spans="1:23" ht="12.75" customHeight="1">
      <c r="A7" s="88"/>
      <c r="B7" s="104"/>
      <c r="C7" s="90" t="s">
        <v>451</v>
      </c>
      <c r="D7" s="89"/>
      <c r="E7" s="141"/>
      <c r="F7" s="91"/>
      <c r="G7" s="92">
        <f>G8+G37+G55+G507+G484+G505+G523+G525+G527+G530+G564+G594+G612+G637+G715+G750</f>
        <v>0</v>
      </c>
      <c r="H7" s="92">
        <f>H8+H37+H55+H507+H484+H505+H523+H525+H527+H530+H564+H594+H612+H637+H715+H750</f>
        <v>0</v>
      </c>
      <c r="I7" s="92">
        <f>I8+I37+I55+I507+I484+I505+I523+I525+I527+I530+I564+I594+I612+I637+I715+I750</f>
        <v>0</v>
      </c>
      <c r="J7" s="92"/>
      <c r="K7" s="92">
        <f>K8+K37+K55+K484+K507+K530+K612+K637+K715+K750</f>
        <v>982.5528824925</v>
      </c>
      <c r="L7" s="209"/>
      <c r="M7" s="209">
        <f>M55+M507+M525+M527+M530+M564+M594+M612+M637+M715+M750</f>
        <v>0</v>
      </c>
      <c r="N7" s="395"/>
      <c r="O7" s="395"/>
      <c r="P7" s="395"/>
      <c r="Q7" s="395"/>
      <c r="R7" s="395"/>
      <c r="S7" s="395"/>
      <c r="T7" s="395"/>
      <c r="U7" s="395"/>
      <c r="V7" s="395"/>
      <c r="W7" s="395"/>
    </row>
    <row r="8" spans="1:23" s="189" customFormat="1" ht="12.75" collapsed="1">
      <c r="A8" s="201"/>
      <c r="B8" s="202"/>
      <c r="C8" s="391" t="s">
        <v>1116</v>
      </c>
      <c r="D8" s="203"/>
      <c r="E8" s="142"/>
      <c r="F8" s="204"/>
      <c r="G8" s="205">
        <f>SUM(G9:G36)</f>
        <v>0</v>
      </c>
      <c r="H8" s="205">
        <f>SUM(H9:H36)</f>
        <v>0</v>
      </c>
      <c r="I8" s="205">
        <f>SUM(I9:I36)</f>
        <v>0</v>
      </c>
      <c r="J8" s="205"/>
      <c r="K8" s="205">
        <f>SUM(K9:K36)</f>
        <v>205.439550285</v>
      </c>
      <c r="L8" s="205"/>
      <c r="M8" s="205"/>
      <c r="N8" s="473"/>
      <c r="O8" s="395"/>
      <c r="P8" s="395"/>
      <c r="Q8" s="395"/>
      <c r="R8" s="395"/>
      <c r="S8" s="395"/>
      <c r="T8" s="395"/>
      <c r="U8" s="395"/>
      <c r="V8" s="395"/>
      <c r="W8" s="395"/>
    </row>
    <row r="9" spans="1:23" ht="12.75" outlineLevel="1">
      <c r="A9" s="84">
        <v>1</v>
      </c>
      <c r="B9" s="85" t="s">
        <v>1117</v>
      </c>
      <c r="C9" s="97" t="s">
        <v>1118</v>
      </c>
      <c r="D9" s="85" t="s">
        <v>48</v>
      </c>
      <c r="E9" s="143">
        <f>SUM(E10:E19)</f>
        <v>34.632</v>
      </c>
      <c r="F9" s="86">
        <v>0</v>
      </c>
      <c r="G9" s="87">
        <f>SUM(E9*F9)</f>
        <v>0</v>
      </c>
      <c r="H9" s="87">
        <v>0</v>
      </c>
      <c r="I9" s="87">
        <v>0</v>
      </c>
      <c r="J9" s="98">
        <v>2.45329</v>
      </c>
      <c r="K9" s="99">
        <f>SUM(E9*J9)</f>
        <v>84.96233928</v>
      </c>
      <c r="L9" s="195"/>
      <c r="M9" s="196">
        <f>SUM(E9*L9)</f>
        <v>0</v>
      </c>
      <c r="N9" s="395"/>
      <c r="O9" s="395"/>
      <c r="P9" s="395"/>
      <c r="Q9" s="395"/>
      <c r="R9" s="395"/>
      <c r="S9" s="395"/>
      <c r="T9" s="395"/>
      <c r="U9" s="395"/>
      <c r="V9" s="395"/>
      <c r="W9" s="395"/>
    </row>
    <row r="10" spans="1:19" ht="12.75" hidden="1" outlineLevel="2">
      <c r="A10" s="100"/>
      <c r="B10" s="106"/>
      <c r="C10" s="102" t="s">
        <v>1119</v>
      </c>
      <c r="D10" s="101"/>
      <c r="E10" s="144"/>
      <c r="F10" s="103"/>
      <c r="G10" s="103"/>
      <c r="H10" s="103"/>
      <c r="I10" s="103"/>
      <c r="J10" s="103"/>
      <c r="K10" s="103"/>
      <c r="L10" s="199"/>
      <c r="M10" s="199"/>
      <c r="S10" s="189"/>
    </row>
    <row r="11" spans="1:19" ht="12.75" hidden="1" outlineLevel="2">
      <c r="A11" s="100"/>
      <c r="B11" s="106"/>
      <c r="C11" s="102" t="s">
        <v>1120</v>
      </c>
      <c r="D11" s="101"/>
      <c r="E11" s="144">
        <v>22.752</v>
      </c>
      <c r="F11" s="103"/>
      <c r="G11" s="103"/>
      <c r="H11" s="103"/>
      <c r="I11" s="103"/>
      <c r="J11" s="103"/>
      <c r="K11" s="103"/>
      <c r="L11" s="199"/>
      <c r="M11" s="199"/>
      <c r="S11" s="189"/>
    </row>
    <row r="12" spans="1:19" ht="12.75" hidden="1" outlineLevel="2">
      <c r="A12" s="100"/>
      <c r="B12" s="106"/>
      <c r="C12" s="102" t="s">
        <v>1121</v>
      </c>
      <c r="D12" s="101"/>
      <c r="E12" s="144"/>
      <c r="F12" s="103"/>
      <c r="G12" s="103"/>
      <c r="H12" s="103"/>
      <c r="I12" s="103"/>
      <c r="J12" s="103"/>
      <c r="K12" s="103"/>
      <c r="L12" s="199"/>
      <c r="M12" s="199"/>
      <c r="S12" s="189"/>
    </row>
    <row r="13" spans="1:19" ht="12.75" hidden="1" outlineLevel="2">
      <c r="A13" s="100"/>
      <c r="B13" s="106"/>
      <c r="C13" s="102" t="s">
        <v>1122</v>
      </c>
      <c r="D13" s="101"/>
      <c r="E13" s="144">
        <f>0.76*0.6*(3.63+2.37)+0.6*0.8*1.2*2</f>
        <v>3.888</v>
      </c>
      <c r="F13" s="103"/>
      <c r="G13" s="103"/>
      <c r="H13" s="103"/>
      <c r="I13" s="103"/>
      <c r="J13" s="103"/>
      <c r="K13" s="103"/>
      <c r="L13" s="199"/>
      <c r="M13" s="199"/>
      <c r="S13" s="189"/>
    </row>
    <row r="14" spans="1:19" ht="12.75" hidden="1" outlineLevel="2">
      <c r="A14" s="100"/>
      <c r="B14" s="106"/>
      <c r="C14" s="102" t="s">
        <v>1123</v>
      </c>
      <c r="D14" s="101"/>
      <c r="E14" s="144"/>
      <c r="F14" s="103"/>
      <c r="G14" s="103"/>
      <c r="H14" s="103"/>
      <c r="I14" s="103"/>
      <c r="J14" s="103"/>
      <c r="K14" s="103"/>
      <c r="L14" s="199"/>
      <c r="M14" s="199"/>
      <c r="S14" s="189"/>
    </row>
    <row r="15" spans="1:19" ht="12.75" hidden="1" outlineLevel="2">
      <c r="A15" s="100"/>
      <c r="B15" s="106"/>
      <c r="C15" s="102" t="s">
        <v>1124</v>
      </c>
      <c r="D15" s="101"/>
      <c r="E15" s="144">
        <f>1.5*1.2*0.6*2</f>
        <v>2.1599999999999997</v>
      </c>
      <c r="F15" s="103"/>
      <c r="G15" s="103"/>
      <c r="H15" s="103"/>
      <c r="I15" s="103"/>
      <c r="J15" s="103"/>
      <c r="K15" s="103"/>
      <c r="L15" s="199"/>
      <c r="M15" s="199"/>
      <c r="S15" s="189"/>
    </row>
    <row r="16" spans="1:19" ht="12.75" hidden="1" outlineLevel="2">
      <c r="A16" s="100"/>
      <c r="B16" s="106"/>
      <c r="C16" s="102" t="s">
        <v>1693</v>
      </c>
      <c r="D16" s="101"/>
      <c r="E16" s="144"/>
      <c r="F16" s="103"/>
      <c r="G16" s="103"/>
      <c r="H16" s="103"/>
      <c r="I16" s="103"/>
      <c r="J16" s="103"/>
      <c r="K16" s="103"/>
      <c r="L16" s="199"/>
      <c r="M16" s="199"/>
      <c r="S16" s="189"/>
    </row>
    <row r="17" spans="1:19" ht="12.75" hidden="1" outlineLevel="2">
      <c r="A17" s="100"/>
      <c r="B17" s="106"/>
      <c r="C17" s="102" t="s">
        <v>1694</v>
      </c>
      <c r="D17" s="101"/>
      <c r="E17" s="144">
        <f>1.8*0.6*1.5*2</f>
        <v>3.24</v>
      </c>
      <c r="F17" s="103"/>
      <c r="G17" s="103"/>
      <c r="H17" s="103"/>
      <c r="I17" s="103"/>
      <c r="J17" s="103"/>
      <c r="K17" s="103"/>
      <c r="L17" s="199"/>
      <c r="M17" s="199"/>
      <c r="S17" s="189"/>
    </row>
    <row r="18" spans="1:19" ht="12.75" hidden="1" outlineLevel="2">
      <c r="A18" s="100"/>
      <c r="B18" s="106"/>
      <c r="C18" s="102" t="s">
        <v>1695</v>
      </c>
      <c r="D18" s="101"/>
      <c r="E18" s="144"/>
      <c r="F18" s="103"/>
      <c r="G18" s="103"/>
      <c r="H18" s="103"/>
      <c r="I18" s="103"/>
      <c r="J18" s="103"/>
      <c r="K18" s="103"/>
      <c r="L18" s="199"/>
      <c r="M18" s="199"/>
      <c r="S18" s="189"/>
    </row>
    <row r="19" spans="1:19" ht="12.75" hidden="1" outlineLevel="2">
      <c r="A19" s="100"/>
      <c r="B19" s="106"/>
      <c r="C19" s="102" t="s">
        <v>1696</v>
      </c>
      <c r="D19" s="101"/>
      <c r="E19" s="144">
        <f>0.6*0.6*1.2*6</f>
        <v>2.592</v>
      </c>
      <c r="F19" s="103"/>
      <c r="G19" s="103"/>
      <c r="H19" s="103"/>
      <c r="I19" s="103"/>
      <c r="J19" s="103"/>
      <c r="K19" s="103"/>
      <c r="L19" s="199"/>
      <c r="M19" s="199"/>
      <c r="S19" s="189"/>
    </row>
    <row r="20" spans="1:19" ht="12.75" outlineLevel="1" collapsed="1">
      <c r="A20" s="84">
        <v>2</v>
      </c>
      <c r="B20" s="85" t="s">
        <v>1125</v>
      </c>
      <c r="C20" s="97" t="s">
        <v>1126</v>
      </c>
      <c r="D20" s="85" t="s">
        <v>26</v>
      </c>
      <c r="E20" s="143">
        <v>25</v>
      </c>
      <c r="F20" s="86">
        <v>0</v>
      </c>
      <c r="G20" s="87">
        <f>SUM(E20*F20)</f>
        <v>0</v>
      </c>
      <c r="H20" s="87">
        <v>0</v>
      </c>
      <c r="I20" s="87">
        <v>0</v>
      </c>
      <c r="J20" s="98">
        <v>0.00144</v>
      </c>
      <c r="K20" s="99">
        <f>SUM(E20*J20)</f>
        <v>0.036000000000000004</v>
      </c>
      <c r="L20" s="195"/>
      <c r="M20" s="196">
        <f>SUM(E20*L20)</f>
        <v>0</v>
      </c>
      <c r="S20" s="189"/>
    </row>
    <row r="21" spans="1:19" ht="12.75" outlineLevel="1">
      <c r="A21" s="84">
        <v>3</v>
      </c>
      <c r="B21" s="85" t="s">
        <v>1127</v>
      </c>
      <c r="C21" s="97" t="s">
        <v>1128</v>
      </c>
      <c r="D21" s="85" t="s">
        <v>26</v>
      </c>
      <c r="E21" s="143">
        <v>25</v>
      </c>
      <c r="F21" s="86">
        <v>0</v>
      </c>
      <c r="G21" s="87">
        <f>SUM(E21*F21)</f>
        <v>0</v>
      </c>
      <c r="H21" s="87">
        <v>0</v>
      </c>
      <c r="I21" s="87">
        <v>0</v>
      </c>
      <c r="J21" s="98">
        <v>4E-05</v>
      </c>
      <c r="K21" s="99">
        <f>SUM(E21*J21)</f>
        <v>0.001</v>
      </c>
      <c r="L21" s="195"/>
      <c r="M21" s="196">
        <f>SUM(E21*L21)</f>
        <v>0</v>
      </c>
      <c r="S21" s="189"/>
    </row>
    <row r="22" spans="1:19" ht="12.75" outlineLevel="1">
      <c r="A22" s="84">
        <v>4</v>
      </c>
      <c r="B22" s="85" t="s">
        <v>1129</v>
      </c>
      <c r="C22" s="97" t="s">
        <v>1130</v>
      </c>
      <c r="D22" s="85" t="s">
        <v>48</v>
      </c>
      <c r="E22" s="143">
        <f>SUM(E23:E25)</f>
        <v>13.116800000000001</v>
      </c>
      <c r="F22" s="86">
        <v>0</v>
      </c>
      <c r="G22" s="87">
        <f>SUM(E22*F22)</f>
        <v>0</v>
      </c>
      <c r="H22" s="87">
        <v>0</v>
      </c>
      <c r="I22" s="87">
        <v>0</v>
      </c>
      <c r="J22" s="98">
        <v>2.16</v>
      </c>
      <c r="K22" s="99">
        <f>SUM(E22*J22)</f>
        <v>28.332288000000005</v>
      </c>
      <c r="L22" s="195"/>
      <c r="M22" s="196"/>
      <c r="S22" s="189"/>
    </row>
    <row r="23" spans="1:19" ht="12.75" hidden="1" outlineLevel="2">
      <c r="A23" s="100"/>
      <c r="B23" s="106"/>
      <c r="C23" s="102" t="s">
        <v>1131</v>
      </c>
      <c r="D23" s="101"/>
      <c r="E23" s="144">
        <f>25.7*0.2*2</f>
        <v>10.280000000000001</v>
      </c>
      <c r="F23" s="103"/>
      <c r="G23" s="103"/>
      <c r="H23" s="103"/>
      <c r="I23" s="103"/>
      <c r="J23" s="103"/>
      <c r="K23" s="103"/>
      <c r="L23" s="199"/>
      <c r="M23" s="199"/>
      <c r="S23" s="189"/>
    </row>
    <row r="24" spans="1:19" ht="12.75" hidden="1" outlineLevel="2">
      <c r="A24" s="100"/>
      <c r="B24" s="106"/>
      <c r="C24" s="102" t="s">
        <v>1132</v>
      </c>
      <c r="D24" s="101"/>
      <c r="E24" s="144">
        <f>0.2*0.6*(1.8*2+3.63+2.37)+1.8*2.1*0.15</f>
        <v>1.7190000000000003</v>
      </c>
      <c r="F24" s="103"/>
      <c r="G24" s="103"/>
      <c r="H24" s="103"/>
      <c r="I24" s="103"/>
      <c r="J24" s="103"/>
      <c r="K24" s="103"/>
      <c r="L24" s="199"/>
      <c r="M24" s="199"/>
      <c r="S24" s="189"/>
    </row>
    <row r="25" spans="1:19" ht="12.75" hidden="1" outlineLevel="2">
      <c r="A25" s="100"/>
      <c r="B25" s="106"/>
      <c r="C25" s="102" t="s">
        <v>1133</v>
      </c>
      <c r="D25" s="101"/>
      <c r="E25" s="144">
        <f>0.15*1.5*2.3*0.6*1.5*1.2*2</f>
        <v>1.1177999999999997</v>
      </c>
      <c r="F25" s="103"/>
      <c r="G25" s="103"/>
      <c r="H25" s="103"/>
      <c r="I25" s="103"/>
      <c r="J25" s="103"/>
      <c r="K25" s="103"/>
      <c r="L25" s="199"/>
      <c r="M25" s="199"/>
      <c r="S25" s="189"/>
    </row>
    <row r="26" spans="1:19" ht="12.75" outlineLevel="1" collapsed="1">
      <c r="A26" s="84">
        <v>5</v>
      </c>
      <c r="B26" s="85" t="s">
        <v>1134</v>
      </c>
      <c r="C26" s="97" t="s">
        <v>1135</v>
      </c>
      <c r="D26" s="85" t="s">
        <v>48</v>
      </c>
      <c r="E26" s="143">
        <f>SUM(E27:E32)</f>
        <v>10.464500000000001</v>
      </c>
      <c r="F26" s="86">
        <v>0</v>
      </c>
      <c r="G26" s="87">
        <f>SUM(E26*F26)</f>
        <v>0</v>
      </c>
      <c r="H26" s="87">
        <v>0</v>
      </c>
      <c r="I26" s="87">
        <v>0</v>
      </c>
      <c r="J26" s="98">
        <v>2.45329</v>
      </c>
      <c r="K26" s="99">
        <f>SUM(E26*J26)</f>
        <v>25.672453205000004</v>
      </c>
      <c r="L26" s="195"/>
      <c r="M26" s="196">
        <f>SUM(E26*L26)</f>
        <v>0</v>
      </c>
      <c r="S26" s="189"/>
    </row>
    <row r="27" spans="1:19" ht="12.75" hidden="1" outlineLevel="2">
      <c r="A27" s="100"/>
      <c r="B27" s="106"/>
      <c r="C27" s="102" t="s">
        <v>1119</v>
      </c>
      <c r="D27" s="101"/>
      <c r="E27" s="144"/>
      <c r="F27" s="103"/>
      <c r="G27" s="103"/>
      <c r="H27" s="103"/>
      <c r="I27" s="103"/>
      <c r="J27" s="103"/>
      <c r="K27" s="103"/>
      <c r="L27" s="199"/>
      <c r="M27" s="199"/>
      <c r="S27" s="189"/>
    </row>
    <row r="28" spans="1:19" ht="12.75" hidden="1" outlineLevel="2">
      <c r="A28" s="100"/>
      <c r="B28" s="106"/>
      <c r="C28" s="102" t="s">
        <v>1136</v>
      </c>
      <c r="D28" s="101"/>
      <c r="E28" s="144">
        <v>9.38</v>
      </c>
      <c r="F28" s="103"/>
      <c r="G28" s="103"/>
      <c r="H28" s="103"/>
      <c r="I28" s="103"/>
      <c r="J28" s="103"/>
      <c r="K28" s="103"/>
      <c r="L28" s="199"/>
      <c r="M28" s="199"/>
      <c r="S28" s="189"/>
    </row>
    <row r="29" spans="1:19" ht="12.75" hidden="1" outlineLevel="2">
      <c r="A29" s="100"/>
      <c r="B29" s="106"/>
      <c r="C29" s="102" t="s">
        <v>1137</v>
      </c>
      <c r="D29" s="101"/>
      <c r="E29" s="144"/>
      <c r="F29" s="103"/>
      <c r="G29" s="103"/>
      <c r="H29" s="103"/>
      <c r="I29" s="103"/>
      <c r="J29" s="103"/>
      <c r="K29" s="103"/>
      <c r="L29" s="199"/>
      <c r="M29" s="199"/>
      <c r="S29" s="189"/>
    </row>
    <row r="30" spans="1:19" ht="12.75" hidden="1" outlineLevel="2">
      <c r="A30" s="100"/>
      <c r="B30" s="106"/>
      <c r="C30" s="102" t="s">
        <v>1138</v>
      </c>
      <c r="D30" s="101"/>
      <c r="E30" s="144">
        <f>1.8*2.1*0.15</f>
        <v>0.5670000000000001</v>
      </c>
      <c r="F30" s="103"/>
      <c r="G30" s="103"/>
      <c r="H30" s="103"/>
      <c r="I30" s="103"/>
      <c r="J30" s="103"/>
      <c r="K30" s="103"/>
      <c r="L30" s="199"/>
      <c r="M30" s="199"/>
      <c r="S30" s="189"/>
    </row>
    <row r="31" spans="1:19" ht="12.75" hidden="1" outlineLevel="2">
      <c r="A31" s="100"/>
      <c r="B31" s="106"/>
      <c r="C31" s="102" t="s">
        <v>1139</v>
      </c>
      <c r="D31" s="101"/>
      <c r="E31" s="144"/>
      <c r="F31" s="103"/>
      <c r="G31" s="103"/>
      <c r="H31" s="103"/>
      <c r="I31" s="103"/>
      <c r="J31" s="103"/>
      <c r="K31" s="103"/>
      <c r="L31" s="199"/>
      <c r="M31" s="199"/>
      <c r="S31" s="189"/>
    </row>
    <row r="32" spans="3:19" ht="12.75" hidden="1" outlineLevel="2">
      <c r="C32" s="181" t="s">
        <v>1140</v>
      </c>
      <c r="E32" s="144">
        <f>1.5*2.3*0.15</f>
        <v>0.5175</v>
      </c>
      <c r="S32" s="189"/>
    </row>
    <row r="33" spans="1:19" ht="12.75" outlineLevel="1" collapsed="1">
      <c r="A33" s="84">
        <v>6</v>
      </c>
      <c r="B33" s="85" t="s">
        <v>1141</v>
      </c>
      <c r="C33" s="97" t="s">
        <v>1142</v>
      </c>
      <c r="D33" s="85" t="s">
        <v>188</v>
      </c>
      <c r="E33" s="143">
        <v>0.4</v>
      </c>
      <c r="F33" s="86">
        <v>0</v>
      </c>
      <c r="G33" s="87">
        <f>SUM(E33*F33)</f>
        <v>0</v>
      </c>
      <c r="H33" s="87">
        <v>0</v>
      </c>
      <c r="I33" s="87">
        <v>0</v>
      </c>
      <c r="J33" s="98">
        <v>1.05306</v>
      </c>
      <c r="K33" s="99">
        <f>SUM(E33*J33)</f>
        <v>0.42122400000000004</v>
      </c>
      <c r="L33" s="195"/>
      <c r="M33" s="196">
        <f>SUM(E33*L33)</f>
        <v>0</v>
      </c>
      <c r="S33" s="189"/>
    </row>
    <row r="34" spans="1:19" ht="12.75" outlineLevel="1">
      <c r="A34" s="84">
        <v>7</v>
      </c>
      <c r="B34" s="85" t="s">
        <v>1143</v>
      </c>
      <c r="C34" s="97" t="s">
        <v>1144</v>
      </c>
      <c r="D34" s="85" t="s">
        <v>48</v>
      </c>
      <c r="E34" s="143">
        <f>SUM(E35:E35)</f>
        <v>25.18</v>
      </c>
      <c r="F34" s="86">
        <v>0</v>
      </c>
      <c r="G34" s="87">
        <f>SUM(E34*F34)</f>
        <v>0</v>
      </c>
      <c r="H34" s="87">
        <v>0</v>
      </c>
      <c r="I34" s="87">
        <v>0</v>
      </c>
      <c r="J34" s="98">
        <v>2.53596</v>
      </c>
      <c r="K34" s="99">
        <f>SUM(E34*J34)</f>
        <v>63.8554728</v>
      </c>
      <c r="L34" s="195"/>
      <c r="M34" s="196">
        <f>SUM(E34*L34)</f>
        <v>0</v>
      </c>
      <c r="N34" s="473"/>
      <c r="S34" s="189"/>
    </row>
    <row r="35" spans="1:19" ht="12.75" hidden="1" outlineLevel="2">
      <c r="A35" s="100"/>
      <c r="B35" s="106"/>
      <c r="C35" s="102" t="s">
        <v>1167</v>
      </c>
      <c r="D35" s="101"/>
      <c r="E35" s="144">
        <v>25.18</v>
      </c>
      <c r="F35" s="103"/>
      <c r="G35" s="103"/>
      <c r="H35" s="103"/>
      <c r="I35" s="103"/>
      <c r="J35" s="103"/>
      <c r="K35" s="103"/>
      <c r="L35" s="199"/>
      <c r="M35" s="199"/>
      <c r="S35" s="189"/>
    </row>
    <row r="36" spans="1:19" ht="12.75" outlineLevel="1" collapsed="1">
      <c r="A36" s="84">
        <v>8</v>
      </c>
      <c r="B36" s="85" t="s">
        <v>1141</v>
      </c>
      <c r="C36" s="97" t="s">
        <v>1142</v>
      </c>
      <c r="D36" s="85" t="s">
        <v>188</v>
      </c>
      <c r="E36" s="143">
        <v>2.05</v>
      </c>
      <c r="F36" s="86">
        <v>0</v>
      </c>
      <c r="G36" s="87">
        <f>SUM(E36*F36)</f>
        <v>0</v>
      </c>
      <c r="H36" s="87">
        <v>0</v>
      </c>
      <c r="I36" s="87">
        <v>0</v>
      </c>
      <c r="J36" s="98">
        <v>1.05306</v>
      </c>
      <c r="K36" s="99">
        <f>SUM(E36*J36)</f>
        <v>2.158773</v>
      </c>
      <c r="L36" s="195"/>
      <c r="M36" s="196">
        <f>SUM(E36*L36)</f>
        <v>0</v>
      </c>
      <c r="S36" s="189"/>
    </row>
    <row r="37" spans="1:14" s="189" customFormat="1" ht="12.75">
      <c r="A37" s="201"/>
      <c r="B37" s="202"/>
      <c r="C37" s="391" t="s">
        <v>1145</v>
      </c>
      <c r="D37" s="203"/>
      <c r="E37" s="142"/>
      <c r="F37" s="204"/>
      <c r="G37" s="205">
        <f>SUM(G38:G54)</f>
        <v>0</v>
      </c>
      <c r="H37" s="205">
        <f>SUM(H38:H54)</f>
        <v>0</v>
      </c>
      <c r="I37" s="205">
        <f>SUM(I38:I54)</f>
        <v>0</v>
      </c>
      <c r="J37" s="205"/>
      <c r="K37" s="205">
        <f>SUM(K38:K53)</f>
        <v>20.33619825</v>
      </c>
      <c r="L37" s="205"/>
      <c r="M37" s="205">
        <f>SUM(M38:M53)</f>
        <v>0</v>
      </c>
      <c r="N37" s="473"/>
    </row>
    <row r="38" spans="1:19" ht="12.75" outlineLevel="1">
      <c r="A38" s="190">
        <v>9</v>
      </c>
      <c r="B38" s="191" t="s">
        <v>1146</v>
      </c>
      <c r="C38" s="192" t="s">
        <v>1147</v>
      </c>
      <c r="D38" s="191" t="s">
        <v>48</v>
      </c>
      <c r="E38" s="143">
        <v>3.375</v>
      </c>
      <c r="F38" s="193">
        <v>0</v>
      </c>
      <c r="G38" s="194">
        <f>SUM(E38*F38)</f>
        <v>0</v>
      </c>
      <c r="H38" s="87">
        <v>0</v>
      </c>
      <c r="I38" s="87">
        <v>0</v>
      </c>
      <c r="J38" s="195">
        <v>2.45343</v>
      </c>
      <c r="K38" s="196">
        <f>SUM(E38*J38)</f>
        <v>8.28032625</v>
      </c>
      <c r="L38" s="195"/>
      <c r="M38" s="196">
        <f>SUM(E38*L38)</f>
        <v>0</v>
      </c>
      <c r="S38" s="189"/>
    </row>
    <row r="39" spans="1:19" ht="12.75" hidden="1" outlineLevel="2">
      <c r="A39" s="200"/>
      <c r="B39" s="197"/>
      <c r="C39" s="181" t="s">
        <v>1148</v>
      </c>
      <c r="D39" s="198"/>
      <c r="E39" s="144"/>
      <c r="F39" s="199"/>
      <c r="G39" s="199"/>
      <c r="H39" s="199"/>
      <c r="I39" s="199"/>
      <c r="J39" s="199"/>
      <c r="K39" s="199"/>
      <c r="L39" s="199"/>
      <c r="M39" s="199"/>
      <c r="S39" s="189"/>
    </row>
    <row r="40" spans="1:19" ht="12.75" hidden="1" outlineLevel="2">
      <c r="A40" s="200"/>
      <c r="B40" s="197"/>
      <c r="C40" s="181" t="s">
        <v>1149</v>
      </c>
      <c r="D40" s="198"/>
      <c r="E40" s="144">
        <v>1.125</v>
      </c>
      <c r="F40" s="199"/>
      <c r="G40" s="199"/>
      <c r="H40" s="199"/>
      <c r="I40" s="199"/>
      <c r="J40" s="199"/>
      <c r="K40" s="199"/>
      <c r="L40" s="199"/>
      <c r="M40" s="199"/>
      <c r="S40" s="189"/>
    </row>
    <row r="41" spans="1:19" ht="12.75" hidden="1" outlineLevel="2">
      <c r="A41" s="200"/>
      <c r="B41" s="197"/>
      <c r="C41" s="181" t="s">
        <v>1150</v>
      </c>
      <c r="D41" s="198"/>
      <c r="E41" s="144">
        <v>2.25</v>
      </c>
      <c r="F41" s="199"/>
      <c r="G41" s="199"/>
      <c r="H41" s="199"/>
      <c r="I41" s="199"/>
      <c r="J41" s="199"/>
      <c r="K41" s="199"/>
      <c r="L41" s="199"/>
      <c r="M41" s="199"/>
      <c r="S41" s="189"/>
    </row>
    <row r="42" spans="1:19" ht="12.75" outlineLevel="1" collapsed="1">
      <c r="A42" s="190">
        <v>10</v>
      </c>
      <c r="B42" s="191" t="s">
        <v>1151</v>
      </c>
      <c r="C42" s="192" t="s">
        <v>1152</v>
      </c>
      <c r="D42" s="191" t="s">
        <v>26</v>
      </c>
      <c r="E42" s="143">
        <f>SUM(E43:E46)</f>
        <v>61.92</v>
      </c>
      <c r="F42" s="193">
        <v>0</v>
      </c>
      <c r="G42" s="194">
        <f>SUM(E42*F42)</f>
        <v>0</v>
      </c>
      <c r="H42" s="87">
        <v>0</v>
      </c>
      <c r="I42" s="87">
        <v>0</v>
      </c>
      <c r="J42" s="195">
        <v>0.00658</v>
      </c>
      <c r="K42" s="196">
        <f>SUM(E42*J42)</f>
        <v>0.4074336</v>
      </c>
      <c r="L42" s="195"/>
      <c r="M42" s="196">
        <f>SUM(E42*L42)</f>
        <v>0</v>
      </c>
      <c r="S42" s="189"/>
    </row>
    <row r="43" spans="1:19" ht="12.75" hidden="1" outlineLevel="2">
      <c r="A43" s="200"/>
      <c r="B43" s="197"/>
      <c r="C43" s="181" t="s">
        <v>1153</v>
      </c>
      <c r="D43" s="198"/>
      <c r="E43" s="144">
        <v>37.8</v>
      </c>
      <c r="F43" s="199"/>
      <c r="G43" s="199"/>
      <c r="H43" s="199"/>
      <c r="I43" s="199"/>
      <c r="J43" s="199"/>
      <c r="K43" s="199"/>
      <c r="L43" s="199"/>
      <c r="M43" s="199"/>
      <c r="S43" s="189"/>
    </row>
    <row r="44" spans="1:19" ht="12.75" hidden="1" outlineLevel="2">
      <c r="A44" s="200"/>
      <c r="B44" s="197"/>
      <c r="C44" s="181" t="s">
        <v>1154</v>
      </c>
      <c r="D44" s="198"/>
      <c r="E44" s="144">
        <v>16.2</v>
      </c>
      <c r="F44" s="199"/>
      <c r="G44" s="199"/>
      <c r="H44" s="199"/>
      <c r="I44" s="199"/>
      <c r="J44" s="199"/>
      <c r="K44" s="199"/>
      <c r="L44" s="199"/>
      <c r="M44" s="199"/>
      <c r="S44" s="189"/>
    </row>
    <row r="45" spans="1:19" ht="12.75" hidden="1" outlineLevel="2">
      <c r="A45" s="200"/>
      <c r="B45" s="197"/>
      <c r="C45" s="181" t="s">
        <v>1155</v>
      </c>
      <c r="D45" s="198"/>
      <c r="E45" s="144">
        <f>1.8*0.3*8</f>
        <v>4.32</v>
      </c>
      <c r="F45" s="199"/>
      <c r="G45" s="199"/>
      <c r="H45" s="199"/>
      <c r="I45" s="199"/>
      <c r="J45" s="199"/>
      <c r="K45" s="199"/>
      <c r="L45" s="199"/>
      <c r="M45" s="199"/>
      <c r="S45" s="189"/>
    </row>
    <row r="46" spans="1:19" ht="12.75" hidden="1" outlineLevel="2">
      <c r="A46" s="200"/>
      <c r="B46" s="197"/>
      <c r="C46" s="181" t="s">
        <v>1156</v>
      </c>
      <c r="D46" s="198"/>
      <c r="E46" s="144">
        <f>1.5*0.3*8</f>
        <v>3.5999999999999996</v>
      </c>
      <c r="F46" s="199"/>
      <c r="G46" s="199"/>
      <c r="H46" s="199"/>
      <c r="I46" s="199"/>
      <c r="J46" s="199"/>
      <c r="K46" s="199"/>
      <c r="L46" s="199"/>
      <c r="M46" s="199"/>
      <c r="S46" s="189"/>
    </row>
    <row r="47" spans="1:19" ht="12.75" outlineLevel="1" collapsed="1">
      <c r="A47" s="190">
        <v>11</v>
      </c>
      <c r="B47" s="191" t="s">
        <v>1157</v>
      </c>
      <c r="C47" s="192" t="s">
        <v>1158</v>
      </c>
      <c r="D47" s="191" t="s">
        <v>26</v>
      </c>
      <c r="E47" s="143">
        <f>SUM(E42)</f>
        <v>61.92</v>
      </c>
      <c r="F47" s="193">
        <v>0</v>
      </c>
      <c r="G47" s="194">
        <f>SUM(E47*F47)</f>
        <v>0</v>
      </c>
      <c r="H47" s="87">
        <v>0</v>
      </c>
      <c r="I47" s="87">
        <v>0</v>
      </c>
      <c r="J47" s="195"/>
      <c r="K47" s="196">
        <f>SUM(E47*J47)</f>
        <v>0</v>
      </c>
      <c r="L47" s="195"/>
      <c r="M47" s="196">
        <f>SUM(E47*L47)</f>
        <v>0</v>
      </c>
      <c r="S47" s="189"/>
    </row>
    <row r="48" spans="1:19" ht="12.75" outlineLevel="1">
      <c r="A48" s="190">
        <v>12</v>
      </c>
      <c r="B48" s="191" t="s">
        <v>1159</v>
      </c>
      <c r="C48" s="192" t="s">
        <v>1160</v>
      </c>
      <c r="D48" s="191" t="s">
        <v>54</v>
      </c>
      <c r="E48" s="143">
        <f>SUM(E49:E52)</f>
        <v>95.28</v>
      </c>
      <c r="F48" s="193">
        <v>0</v>
      </c>
      <c r="G48" s="194">
        <f>SUM(E48*F48)</f>
        <v>0</v>
      </c>
      <c r="H48" s="87">
        <v>0</v>
      </c>
      <c r="I48" s="87">
        <v>0</v>
      </c>
      <c r="J48" s="195">
        <v>0.11353</v>
      </c>
      <c r="K48" s="196">
        <f>SUM(E48*J48)</f>
        <v>10.817138400000001</v>
      </c>
      <c r="L48" s="195"/>
      <c r="M48" s="196">
        <f>SUM(E48*L48)</f>
        <v>0</v>
      </c>
      <c r="S48" s="189"/>
    </row>
    <row r="49" spans="1:19" ht="12.75" hidden="1" outlineLevel="2">
      <c r="A49" s="200"/>
      <c r="B49" s="197"/>
      <c r="C49" s="181" t="s">
        <v>1161</v>
      </c>
      <c r="D49" s="198"/>
      <c r="E49" s="144">
        <v>63</v>
      </c>
      <c r="F49" s="199"/>
      <c r="G49" s="199"/>
      <c r="H49" s="199"/>
      <c r="I49" s="199"/>
      <c r="J49" s="199"/>
      <c r="K49" s="199"/>
      <c r="L49" s="199"/>
      <c r="M49" s="199"/>
      <c r="S49" s="189"/>
    </row>
    <row r="50" spans="1:19" ht="12.75" hidden="1" outlineLevel="2">
      <c r="A50" s="200"/>
      <c r="B50" s="197"/>
      <c r="C50" s="181" t="s">
        <v>1162</v>
      </c>
      <c r="D50" s="198"/>
      <c r="E50" s="144">
        <v>27</v>
      </c>
      <c r="F50" s="199"/>
      <c r="G50" s="199"/>
      <c r="H50" s="199"/>
      <c r="I50" s="199"/>
      <c r="J50" s="199"/>
      <c r="K50" s="199"/>
      <c r="L50" s="199"/>
      <c r="M50" s="199"/>
      <c r="S50" s="189"/>
    </row>
    <row r="51" spans="1:19" ht="12.75" hidden="1" outlineLevel="2">
      <c r="A51" s="200"/>
      <c r="B51" s="197"/>
      <c r="C51" s="181" t="s">
        <v>1163</v>
      </c>
      <c r="D51" s="198"/>
      <c r="E51" s="144">
        <f>1.8*8*0.2</f>
        <v>2.8800000000000003</v>
      </c>
      <c r="F51" s="199"/>
      <c r="G51" s="199"/>
      <c r="H51" s="199"/>
      <c r="I51" s="199"/>
      <c r="J51" s="199"/>
      <c r="K51" s="199"/>
      <c r="L51" s="199"/>
      <c r="M51" s="199"/>
      <c r="S51" s="189"/>
    </row>
    <row r="52" spans="1:19" ht="12.75" hidden="1" outlineLevel="2">
      <c r="A52" s="200"/>
      <c r="B52" s="197"/>
      <c r="C52" s="181" t="s">
        <v>1164</v>
      </c>
      <c r="D52" s="198"/>
      <c r="E52" s="144">
        <f>1.5*8*0.2</f>
        <v>2.4000000000000004</v>
      </c>
      <c r="F52" s="199"/>
      <c r="G52" s="199"/>
      <c r="H52" s="199"/>
      <c r="I52" s="199"/>
      <c r="J52" s="199"/>
      <c r="K52" s="199"/>
      <c r="L52" s="199"/>
      <c r="M52" s="199"/>
      <c r="S52" s="189"/>
    </row>
    <row r="53" spans="1:19" ht="12.75" outlineLevel="1" collapsed="1">
      <c r="A53" s="386">
        <v>13</v>
      </c>
      <c r="B53" s="191" t="s">
        <v>1165</v>
      </c>
      <c r="C53" s="192" t="s">
        <v>1166</v>
      </c>
      <c r="D53" s="191" t="s">
        <v>26</v>
      </c>
      <c r="E53" s="143">
        <v>10</v>
      </c>
      <c r="F53" s="193">
        <v>0</v>
      </c>
      <c r="G53" s="194">
        <f>SUM(E53*F53)</f>
        <v>0</v>
      </c>
      <c r="H53" s="87">
        <v>0</v>
      </c>
      <c r="I53" s="87">
        <v>0</v>
      </c>
      <c r="J53" s="195">
        <v>0.08313</v>
      </c>
      <c r="K53" s="196">
        <f>SUM(E53*J53)</f>
        <v>0.8312999999999999</v>
      </c>
      <c r="L53" s="195"/>
      <c r="M53" s="196">
        <f>SUM(E53*L53)</f>
        <v>0</v>
      </c>
      <c r="S53" s="189"/>
    </row>
    <row r="54" spans="1:19" ht="12.75" outlineLevel="1">
      <c r="A54" s="386">
        <v>14</v>
      </c>
      <c r="B54" s="191" t="s">
        <v>1697</v>
      </c>
      <c r="C54" s="192" t="s">
        <v>1698</v>
      </c>
      <c r="D54" s="191" t="s">
        <v>182</v>
      </c>
      <c r="E54" s="143">
        <v>24</v>
      </c>
      <c r="F54" s="193">
        <v>0</v>
      </c>
      <c r="G54" s="194">
        <f>SUM(E54*F54)</f>
        <v>0</v>
      </c>
      <c r="H54" s="87">
        <v>0</v>
      </c>
      <c r="I54" s="87">
        <v>0</v>
      </c>
      <c r="J54" s="195"/>
      <c r="K54" s="196"/>
      <c r="L54" s="195"/>
      <c r="M54" s="196">
        <f>SUM(E54*L54)</f>
        <v>0</v>
      </c>
      <c r="S54" s="189"/>
    </row>
    <row r="55" spans="1:14" ht="12.75">
      <c r="A55" s="201"/>
      <c r="B55" s="202"/>
      <c r="C55" s="391" t="s">
        <v>352</v>
      </c>
      <c r="D55" s="203"/>
      <c r="E55" s="142"/>
      <c r="F55" s="204"/>
      <c r="G55" s="205">
        <f>SUM(G56:G471)</f>
        <v>0</v>
      </c>
      <c r="H55" s="205">
        <f>SUM(H56:H471)</f>
        <v>0</v>
      </c>
      <c r="I55" s="205">
        <f>SUM(I56:I471)</f>
        <v>0</v>
      </c>
      <c r="J55" s="205"/>
      <c r="K55" s="205">
        <f>SUM(K56:K470)</f>
        <v>505.95010944999996</v>
      </c>
      <c r="L55" s="205"/>
      <c r="M55" s="205"/>
      <c r="N55" s="473"/>
    </row>
    <row r="56" spans="1:18" ht="15.75" outlineLevel="1">
      <c r="A56" s="190">
        <v>15</v>
      </c>
      <c r="B56" s="191" t="s">
        <v>353</v>
      </c>
      <c r="C56" s="192" t="s">
        <v>354</v>
      </c>
      <c r="D56" s="191" t="s">
        <v>26</v>
      </c>
      <c r="E56" s="143">
        <v>124.2895</v>
      </c>
      <c r="F56" s="193">
        <v>0</v>
      </c>
      <c r="G56" s="194">
        <f>SUM(E56*F56)</f>
        <v>0</v>
      </c>
      <c r="H56" s="87">
        <v>0</v>
      </c>
      <c r="I56" s="87">
        <v>0</v>
      </c>
      <c r="J56" s="195"/>
      <c r="K56" s="196">
        <f>SUM(E56*J56)</f>
        <v>0</v>
      </c>
      <c r="L56" s="195"/>
      <c r="M56" s="196">
        <f>SUM(E56*L56)</f>
        <v>0</v>
      </c>
      <c r="N56" s="188"/>
      <c r="O56" s="37"/>
      <c r="P56" s="37"/>
      <c r="Q56" s="210"/>
      <c r="R56" s="210"/>
    </row>
    <row r="57" spans="1:13" ht="12.75" hidden="1" outlineLevel="2">
      <c r="A57" s="200"/>
      <c r="B57" s="197"/>
      <c r="C57" s="181" t="s">
        <v>355</v>
      </c>
      <c r="D57" s="198"/>
      <c r="E57" s="144">
        <v>99.16</v>
      </c>
      <c r="F57" s="199"/>
      <c r="G57" s="199"/>
      <c r="H57" s="199"/>
      <c r="I57" s="199"/>
      <c r="J57" s="199"/>
      <c r="K57" s="199"/>
      <c r="L57" s="199"/>
      <c r="M57" s="199"/>
    </row>
    <row r="58" spans="1:13" ht="12.75" hidden="1" outlineLevel="2">
      <c r="A58" s="200"/>
      <c r="B58" s="197"/>
      <c r="C58" s="181" t="s">
        <v>356</v>
      </c>
      <c r="D58" s="198"/>
      <c r="E58" s="144">
        <v>25.1295</v>
      </c>
      <c r="F58" s="199"/>
      <c r="G58" s="199"/>
      <c r="H58" s="199"/>
      <c r="I58" s="199"/>
      <c r="J58" s="199"/>
      <c r="K58" s="199"/>
      <c r="L58" s="199"/>
      <c r="M58" s="199"/>
    </row>
    <row r="59" spans="1:19" ht="12.75" outlineLevel="1" collapsed="1">
      <c r="A59" s="84">
        <v>16</v>
      </c>
      <c r="B59" s="85" t="s">
        <v>1081</v>
      </c>
      <c r="C59" s="97" t="s">
        <v>1082</v>
      </c>
      <c r="D59" s="85" t="s">
        <v>25</v>
      </c>
      <c r="E59" s="143">
        <f>SUM(E60:E82)</f>
        <v>328</v>
      </c>
      <c r="F59" s="86">
        <v>0</v>
      </c>
      <c r="G59" s="87">
        <f>SUM(E59*F59)</f>
        <v>0</v>
      </c>
      <c r="H59" s="87">
        <v>0</v>
      </c>
      <c r="I59" s="87">
        <v>0</v>
      </c>
      <c r="J59" s="98">
        <v>0.00096</v>
      </c>
      <c r="K59" s="99">
        <f>SUM(E59*J59)</f>
        <v>0.31488</v>
      </c>
      <c r="L59" s="195"/>
      <c r="M59" s="196">
        <f>SUM(E59*L59)</f>
        <v>0</v>
      </c>
      <c r="S59" s="189"/>
    </row>
    <row r="60" spans="1:19" ht="12.75" hidden="1" outlineLevel="2">
      <c r="A60" s="100"/>
      <c r="B60" s="106"/>
      <c r="C60" s="102" t="s">
        <v>1083</v>
      </c>
      <c r="D60" s="101"/>
      <c r="E60" s="144">
        <v>22</v>
      </c>
      <c r="F60" s="103"/>
      <c r="G60" s="103"/>
      <c r="H60" s="103"/>
      <c r="I60" s="103"/>
      <c r="J60" s="103"/>
      <c r="K60" s="103"/>
      <c r="L60" s="199"/>
      <c r="M60" s="199"/>
      <c r="S60" s="189"/>
    </row>
    <row r="61" spans="1:19" ht="12.75" hidden="1" outlineLevel="2">
      <c r="A61" s="100"/>
      <c r="B61" s="106"/>
      <c r="C61" s="102" t="s">
        <v>1176</v>
      </c>
      <c r="D61" s="101"/>
      <c r="E61" s="144">
        <v>11</v>
      </c>
      <c r="F61" s="103"/>
      <c r="G61" s="103"/>
      <c r="H61" s="103"/>
      <c r="I61" s="103"/>
      <c r="J61" s="103"/>
      <c r="K61" s="103"/>
      <c r="L61" s="199"/>
      <c r="M61" s="199"/>
      <c r="S61" s="189"/>
    </row>
    <row r="62" spans="1:19" ht="12.75" hidden="1" outlineLevel="2">
      <c r="A62" s="100"/>
      <c r="B62" s="106"/>
      <c r="C62" s="102" t="s">
        <v>1177</v>
      </c>
      <c r="D62" s="101"/>
      <c r="E62" s="144">
        <v>70</v>
      </c>
      <c r="F62" s="103"/>
      <c r="G62" s="103"/>
      <c r="H62" s="103"/>
      <c r="I62" s="103"/>
      <c r="J62" s="103"/>
      <c r="K62" s="103"/>
      <c r="L62" s="199"/>
      <c r="M62" s="199"/>
      <c r="S62" s="189"/>
    </row>
    <row r="63" spans="1:19" ht="12.75" hidden="1" outlineLevel="2">
      <c r="A63" s="100"/>
      <c r="B63" s="106"/>
      <c r="C63" s="102" t="s">
        <v>1178</v>
      </c>
      <c r="D63" s="101"/>
      <c r="E63" s="144">
        <v>1</v>
      </c>
      <c r="F63" s="103"/>
      <c r="G63" s="103"/>
      <c r="H63" s="103"/>
      <c r="I63" s="103"/>
      <c r="J63" s="103"/>
      <c r="K63" s="103"/>
      <c r="L63" s="199"/>
      <c r="M63" s="199"/>
      <c r="S63" s="189"/>
    </row>
    <row r="64" spans="1:19" ht="12.75" hidden="1" outlineLevel="2">
      <c r="A64" s="100"/>
      <c r="B64" s="106"/>
      <c r="C64" s="102" t="s">
        <v>1179</v>
      </c>
      <c r="D64" s="101"/>
      <c r="E64" s="144">
        <v>1</v>
      </c>
      <c r="F64" s="103"/>
      <c r="G64" s="103"/>
      <c r="H64" s="103"/>
      <c r="I64" s="103"/>
      <c r="J64" s="103"/>
      <c r="K64" s="103"/>
      <c r="L64" s="199"/>
      <c r="M64" s="199"/>
      <c r="S64" s="189"/>
    </row>
    <row r="65" spans="1:19" ht="12.75" hidden="1" outlineLevel="2">
      <c r="A65" s="100"/>
      <c r="B65" s="106"/>
      <c r="C65" s="102" t="s">
        <v>1084</v>
      </c>
      <c r="D65" s="101"/>
      <c r="E65" s="144">
        <v>1</v>
      </c>
      <c r="F65" s="103"/>
      <c r="G65" s="103"/>
      <c r="H65" s="103"/>
      <c r="I65" s="103"/>
      <c r="J65" s="103"/>
      <c r="K65" s="103"/>
      <c r="L65" s="199"/>
      <c r="M65" s="199"/>
      <c r="S65" s="189"/>
    </row>
    <row r="66" spans="1:19" ht="12.75" hidden="1" outlineLevel="2">
      <c r="A66" s="100"/>
      <c r="B66" s="106"/>
      <c r="C66" s="102" t="s">
        <v>1085</v>
      </c>
      <c r="D66" s="101"/>
      <c r="E66" s="144">
        <v>7</v>
      </c>
      <c r="F66" s="103"/>
      <c r="G66" s="103"/>
      <c r="H66" s="103"/>
      <c r="I66" s="103"/>
      <c r="J66" s="103"/>
      <c r="K66" s="103"/>
      <c r="L66" s="199"/>
      <c r="M66" s="199"/>
      <c r="S66" s="189"/>
    </row>
    <row r="67" spans="1:19" ht="12.75" hidden="1" outlineLevel="2">
      <c r="A67" s="100"/>
      <c r="B67" s="106"/>
      <c r="C67" s="102" t="s">
        <v>1180</v>
      </c>
      <c r="D67" s="101"/>
      <c r="E67" s="144">
        <v>46</v>
      </c>
      <c r="F67" s="103"/>
      <c r="G67" s="103"/>
      <c r="H67" s="103"/>
      <c r="I67" s="103"/>
      <c r="J67" s="103"/>
      <c r="K67" s="103"/>
      <c r="L67" s="199"/>
      <c r="M67" s="199"/>
      <c r="S67" s="189"/>
    </row>
    <row r="68" spans="1:19" ht="12.75" hidden="1" outlineLevel="2">
      <c r="A68" s="100"/>
      <c r="B68" s="106"/>
      <c r="C68" s="102" t="s">
        <v>1193</v>
      </c>
      <c r="D68" s="101"/>
      <c r="E68" s="144">
        <v>3</v>
      </c>
      <c r="F68" s="103"/>
      <c r="G68" s="103"/>
      <c r="H68" s="103"/>
      <c r="I68" s="103"/>
      <c r="J68" s="103"/>
      <c r="K68" s="103"/>
      <c r="L68" s="199"/>
      <c r="M68" s="199"/>
      <c r="S68" s="189"/>
    </row>
    <row r="69" spans="1:19" ht="12.75" hidden="1" outlineLevel="2">
      <c r="A69" s="100"/>
      <c r="B69" s="106"/>
      <c r="C69" s="102" t="s">
        <v>1181</v>
      </c>
      <c r="D69" s="101"/>
      <c r="E69" s="144">
        <v>5</v>
      </c>
      <c r="F69" s="103"/>
      <c r="G69" s="103"/>
      <c r="H69" s="103"/>
      <c r="I69" s="103"/>
      <c r="J69" s="103"/>
      <c r="K69" s="103"/>
      <c r="L69" s="199"/>
      <c r="M69" s="199"/>
      <c r="S69" s="189"/>
    </row>
    <row r="70" spans="1:19" ht="12.75" hidden="1" outlineLevel="2">
      <c r="A70" s="100"/>
      <c r="B70" s="106"/>
      <c r="C70" s="102" t="s">
        <v>1182</v>
      </c>
      <c r="D70" s="101"/>
      <c r="E70" s="144">
        <v>27</v>
      </c>
      <c r="F70" s="103"/>
      <c r="G70" s="103"/>
      <c r="H70" s="103"/>
      <c r="I70" s="103"/>
      <c r="J70" s="103"/>
      <c r="K70" s="103"/>
      <c r="L70" s="199"/>
      <c r="M70" s="199"/>
      <c r="S70" s="189"/>
    </row>
    <row r="71" spans="1:19" ht="12.75" hidden="1" outlineLevel="2">
      <c r="A71" s="100"/>
      <c r="B71" s="106"/>
      <c r="C71" s="102" t="s">
        <v>1183</v>
      </c>
      <c r="D71" s="101"/>
      <c r="E71" s="144">
        <v>22</v>
      </c>
      <c r="F71" s="103"/>
      <c r="G71" s="103"/>
      <c r="H71" s="103"/>
      <c r="I71" s="103"/>
      <c r="J71" s="103"/>
      <c r="K71" s="103"/>
      <c r="L71" s="199"/>
      <c r="M71" s="199"/>
      <c r="S71" s="189"/>
    </row>
    <row r="72" spans="1:19" ht="12.75" hidden="1" outlineLevel="2">
      <c r="A72" s="100"/>
      <c r="B72" s="106"/>
      <c r="C72" s="102" t="s">
        <v>1184</v>
      </c>
      <c r="D72" s="101"/>
      <c r="E72" s="144">
        <v>77</v>
      </c>
      <c r="F72" s="103"/>
      <c r="G72" s="103"/>
      <c r="H72" s="103"/>
      <c r="I72" s="103"/>
      <c r="J72" s="103"/>
      <c r="K72" s="103"/>
      <c r="L72" s="199"/>
      <c r="M72" s="199"/>
      <c r="S72" s="189"/>
    </row>
    <row r="73" spans="1:19" ht="12.75" hidden="1" outlineLevel="2">
      <c r="A73" s="100"/>
      <c r="B73" s="106"/>
      <c r="C73" s="102" t="s">
        <v>1086</v>
      </c>
      <c r="D73" s="101"/>
      <c r="E73" s="144">
        <v>2</v>
      </c>
      <c r="F73" s="103"/>
      <c r="G73" s="103"/>
      <c r="H73" s="103"/>
      <c r="I73" s="103"/>
      <c r="J73" s="103"/>
      <c r="K73" s="103"/>
      <c r="L73" s="199"/>
      <c r="M73" s="199"/>
      <c r="S73" s="189"/>
    </row>
    <row r="74" spans="1:19" ht="12.75" hidden="1" outlineLevel="2">
      <c r="A74" s="100"/>
      <c r="B74" s="106"/>
      <c r="C74" s="102" t="s">
        <v>1185</v>
      </c>
      <c r="D74" s="101"/>
      <c r="E74" s="144">
        <v>1</v>
      </c>
      <c r="F74" s="103"/>
      <c r="G74" s="103"/>
      <c r="H74" s="103"/>
      <c r="I74" s="103"/>
      <c r="J74" s="103"/>
      <c r="K74" s="103"/>
      <c r="L74" s="199"/>
      <c r="M74" s="199"/>
      <c r="S74" s="189"/>
    </row>
    <row r="75" spans="1:19" ht="12.75" hidden="1" outlineLevel="2">
      <c r="A75" s="100"/>
      <c r="B75" s="106"/>
      <c r="C75" s="102" t="s">
        <v>1087</v>
      </c>
      <c r="D75" s="101"/>
      <c r="E75" s="144">
        <v>2</v>
      </c>
      <c r="F75" s="103"/>
      <c r="G75" s="103"/>
      <c r="H75" s="103"/>
      <c r="I75" s="103"/>
      <c r="J75" s="103"/>
      <c r="K75" s="103"/>
      <c r="L75" s="199"/>
      <c r="M75" s="199"/>
      <c r="S75" s="189"/>
    </row>
    <row r="76" spans="1:19" ht="12.75" hidden="1" outlineLevel="2">
      <c r="A76" s="100"/>
      <c r="B76" s="106"/>
      <c r="C76" s="102" t="s">
        <v>1088</v>
      </c>
      <c r="D76" s="101"/>
      <c r="E76" s="144">
        <v>1</v>
      </c>
      <c r="F76" s="103"/>
      <c r="G76" s="103"/>
      <c r="H76" s="103"/>
      <c r="I76" s="103"/>
      <c r="J76" s="103"/>
      <c r="K76" s="103"/>
      <c r="L76" s="199"/>
      <c r="M76" s="199"/>
      <c r="S76" s="189"/>
    </row>
    <row r="77" spans="1:19" ht="12.75" hidden="1" outlineLevel="2">
      <c r="A77" s="100"/>
      <c r="B77" s="106"/>
      <c r="C77" s="102" t="s">
        <v>1186</v>
      </c>
      <c r="D77" s="101"/>
      <c r="E77" s="144">
        <v>12</v>
      </c>
      <c r="F77" s="103"/>
      <c r="G77" s="103"/>
      <c r="H77" s="103"/>
      <c r="I77" s="103"/>
      <c r="J77" s="103"/>
      <c r="K77" s="103"/>
      <c r="L77" s="199"/>
      <c r="M77" s="199"/>
      <c r="S77" s="189"/>
    </row>
    <row r="78" spans="1:19" ht="12.75" hidden="1" outlineLevel="2">
      <c r="A78" s="100"/>
      <c r="B78" s="106"/>
      <c r="C78" s="102" t="s">
        <v>1089</v>
      </c>
      <c r="D78" s="101"/>
      <c r="E78" s="144">
        <v>5</v>
      </c>
      <c r="F78" s="103"/>
      <c r="G78" s="103"/>
      <c r="H78" s="103"/>
      <c r="I78" s="103"/>
      <c r="J78" s="103"/>
      <c r="K78" s="103"/>
      <c r="L78" s="199"/>
      <c r="M78" s="199"/>
      <c r="S78" s="189"/>
    </row>
    <row r="79" spans="1:19" ht="12.75" hidden="1" outlineLevel="2">
      <c r="A79" s="100"/>
      <c r="B79" s="106"/>
      <c r="C79" s="102" t="s">
        <v>1187</v>
      </c>
      <c r="D79" s="101"/>
      <c r="E79" s="144">
        <v>5</v>
      </c>
      <c r="F79" s="103"/>
      <c r="G79" s="103"/>
      <c r="H79" s="103"/>
      <c r="I79" s="103"/>
      <c r="J79" s="103"/>
      <c r="K79" s="103"/>
      <c r="L79" s="199"/>
      <c r="M79" s="199"/>
      <c r="S79" s="189"/>
    </row>
    <row r="80" spans="1:19" ht="12.75" hidden="1" outlineLevel="2">
      <c r="A80" s="100"/>
      <c r="B80" s="106"/>
      <c r="C80" s="102" t="s">
        <v>1188</v>
      </c>
      <c r="D80" s="101"/>
      <c r="E80" s="144">
        <v>5</v>
      </c>
      <c r="F80" s="103"/>
      <c r="G80" s="103"/>
      <c r="H80" s="103"/>
      <c r="I80" s="103"/>
      <c r="J80" s="103"/>
      <c r="K80" s="103"/>
      <c r="L80" s="199"/>
      <c r="M80" s="199"/>
      <c r="S80" s="189"/>
    </row>
    <row r="81" spans="1:19" ht="12.75" hidden="1" outlineLevel="2">
      <c r="A81" s="100"/>
      <c r="B81" s="106"/>
      <c r="C81" s="102" t="s">
        <v>1197</v>
      </c>
      <c r="D81" s="101"/>
      <c r="E81" s="144">
        <v>1</v>
      </c>
      <c r="F81" s="103"/>
      <c r="G81" s="103"/>
      <c r="H81" s="103"/>
      <c r="I81" s="103"/>
      <c r="J81" s="103"/>
      <c r="K81" s="103"/>
      <c r="L81" s="199"/>
      <c r="M81" s="199"/>
      <c r="S81" s="189"/>
    </row>
    <row r="82" spans="1:19" ht="12.75" hidden="1" outlineLevel="2">
      <c r="A82" s="100"/>
      <c r="B82" s="106"/>
      <c r="C82" s="102" t="s">
        <v>1189</v>
      </c>
      <c r="D82" s="101"/>
      <c r="E82" s="144">
        <v>1</v>
      </c>
      <c r="F82" s="103"/>
      <c r="G82" s="103"/>
      <c r="H82" s="103"/>
      <c r="I82" s="103"/>
      <c r="J82" s="103"/>
      <c r="K82" s="103"/>
      <c r="L82" s="199"/>
      <c r="M82" s="199"/>
      <c r="S82" s="189"/>
    </row>
    <row r="83" spans="1:19" ht="12.75" outlineLevel="1" collapsed="1">
      <c r="A83" s="84">
        <v>17</v>
      </c>
      <c r="B83" s="85" t="s">
        <v>1090</v>
      </c>
      <c r="C83" s="97" t="s">
        <v>1091</v>
      </c>
      <c r="D83" s="85" t="s">
        <v>25</v>
      </c>
      <c r="E83" s="143">
        <f>SUM(E84:E86)</f>
        <v>28</v>
      </c>
      <c r="F83" s="86">
        <v>0</v>
      </c>
      <c r="G83" s="87">
        <f>SUM(E83*F83)</f>
        <v>0</v>
      </c>
      <c r="H83" s="87">
        <v>0</v>
      </c>
      <c r="I83" s="87">
        <v>0</v>
      </c>
      <c r="J83" s="98">
        <v>0.01936</v>
      </c>
      <c r="K83" s="99">
        <f>SUM(E83*J83)</f>
        <v>0.54208</v>
      </c>
      <c r="L83" s="195"/>
      <c r="M83" s="196">
        <f>SUM(E83*L83)</f>
        <v>0</v>
      </c>
      <c r="S83" s="189"/>
    </row>
    <row r="84" spans="1:19" ht="12.75" hidden="1" outlineLevel="2">
      <c r="A84" s="100"/>
      <c r="B84" s="106"/>
      <c r="C84" s="102" t="s">
        <v>1083</v>
      </c>
      <c r="D84" s="101"/>
      <c r="E84" s="144">
        <v>22</v>
      </c>
      <c r="F84" s="103"/>
      <c r="G84" s="103"/>
      <c r="H84" s="103"/>
      <c r="I84" s="103"/>
      <c r="J84" s="103"/>
      <c r="K84" s="103"/>
      <c r="L84" s="199"/>
      <c r="M84" s="199"/>
      <c r="S84" s="189"/>
    </row>
    <row r="85" spans="1:19" ht="12.75" hidden="1" outlineLevel="2">
      <c r="A85" s="100"/>
      <c r="B85" s="106"/>
      <c r="C85" s="102" t="s">
        <v>1084</v>
      </c>
      <c r="D85" s="101"/>
      <c r="E85" s="144">
        <v>1</v>
      </c>
      <c r="F85" s="103"/>
      <c r="G85" s="103"/>
      <c r="H85" s="103"/>
      <c r="I85" s="103"/>
      <c r="J85" s="103"/>
      <c r="K85" s="103"/>
      <c r="L85" s="199"/>
      <c r="M85" s="199"/>
      <c r="S85" s="189"/>
    </row>
    <row r="86" spans="1:19" ht="12.75" hidden="1" outlineLevel="2">
      <c r="A86" s="100"/>
      <c r="B86" s="106"/>
      <c r="C86" s="102" t="s">
        <v>1190</v>
      </c>
      <c r="D86" s="101"/>
      <c r="E86" s="144">
        <v>5</v>
      </c>
      <c r="F86" s="103"/>
      <c r="G86" s="103"/>
      <c r="H86" s="103"/>
      <c r="I86" s="103"/>
      <c r="J86" s="103"/>
      <c r="K86" s="103"/>
      <c r="L86" s="199"/>
      <c r="M86" s="199"/>
      <c r="S86" s="189"/>
    </row>
    <row r="87" spans="1:19" ht="12.75" outlineLevel="1" collapsed="1">
      <c r="A87" s="84">
        <v>18</v>
      </c>
      <c r="B87" s="85" t="s">
        <v>1092</v>
      </c>
      <c r="C87" s="97" t="s">
        <v>1093</v>
      </c>
      <c r="D87" s="85" t="s">
        <v>25</v>
      </c>
      <c r="E87" s="143">
        <f>SUM(E88:E93)</f>
        <v>111</v>
      </c>
      <c r="F87" s="86">
        <v>0</v>
      </c>
      <c r="G87" s="87">
        <f>SUM(E87*F87)</f>
        <v>0</v>
      </c>
      <c r="H87" s="87">
        <v>0</v>
      </c>
      <c r="I87" s="87">
        <v>0</v>
      </c>
      <c r="J87" s="98">
        <v>0.01992</v>
      </c>
      <c r="K87" s="99">
        <f>SUM(E87*J87)</f>
        <v>2.21112</v>
      </c>
      <c r="L87" s="195"/>
      <c r="M87" s="196">
        <f>SUM(E87*L87)</f>
        <v>0</v>
      </c>
      <c r="S87" s="189"/>
    </row>
    <row r="88" spans="1:19" ht="12.75" hidden="1" outlineLevel="2">
      <c r="A88" s="100"/>
      <c r="B88" s="106"/>
      <c r="C88" s="102" t="s">
        <v>1177</v>
      </c>
      <c r="D88" s="101"/>
      <c r="E88" s="144">
        <v>70</v>
      </c>
      <c r="F88" s="103"/>
      <c r="G88" s="103"/>
      <c r="H88" s="103"/>
      <c r="I88" s="103"/>
      <c r="J88" s="103"/>
      <c r="K88" s="103"/>
      <c r="L88" s="199"/>
      <c r="M88" s="199"/>
      <c r="S88" s="189"/>
    </row>
    <row r="89" spans="1:19" ht="12.75" hidden="1" outlineLevel="2">
      <c r="A89" s="100"/>
      <c r="B89" s="106"/>
      <c r="C89" s="102" t="s">
        <v>1178</v>
      </c>
      <c r="D89" s="101"/>
      <c r="E89" s="144">
        <v>1</v>
      </c>
      <c r="F89" s="103"/>
      <c r="G89" s="103"/>
      <c r="H89" s="103"/>
      <c r="I89" s="103"/>
      <c r="J89" s="103"/>
      <c r="K89" s="103"/>
      <c r="L89" s="199"/>
      <c r="M89" s="199"/>
      <c r="S89" s="189"/>
    </row>
    <row r="90" spans="1:19" ht="12.75" hidden="1" outlineLevel="2">
      <c r="A90" s="100"/>
      <c r="B90" s="106"/>
      <c r="C90" s="102" t="s">
        <v>1179</v>
      </c>
      <c r="D90" s="101"/>
      <c r="E90" s="144">
        <v>1</v>
      </c>
      <c r="F90" s="103"/>
      <c r="G90" s="103"/>
      <c r="H90" s="103"/>
      <c r="I90" s="103"/>
      <c r="J90" s="103"/>
      <c r="K90" s="103"/>
      <c r="L90" s="199"/>
      <c r="M90" s="199"/>
      <c r="S90" s="189"/>
    </row>
    <row r="91" spans="1:19" ht="12.75" hidden="1" outlineLevel="2">
      <c r="A91" s="100"/>
      <c r="B91" s="106"/>
      <c r="C91" s="102" t="s">
        <v>1085</v>
      </c>
      <c r="D91" s="101"/>
      <c r="E91" s="144">
        <v>7</v>
      </c>
      <c r="F91" s="103"/>
      <c r="G91" s="103"/>
      <c r="H91" s="103"/>
      <c r="I91" s="103"/>
      <c r="J91" s="103"/>
      <c r="K91" s="103"/>
      <c r="L91" s="199"/>
      <c r="M91" s="199"/>
      <c r="S91" s="189"/>
    </row>
    <row r="92" spans="1:19" ht="12.75" hidden="1" outlineLevel="2">
      <c r="A92" s="100"/>
      <c r="B92" s="106"/>
      <c r="C92" s="102" t="s">
        <v>1191</v>
      </c>
      <c r="D92" s="101"/>
      <c r="E92" s="144">
        <v>27</v>
      </c>
      <c r="F92" s="103"/>
      <c r="G92" s="103"/>
      <c r="H92" s="103"/>
      <c r="I92" s="103"/>
      <c r="J92" s="103"/>
      <c r="K92" s="103"/>
      <c r="L92" s="199"/>
      <c r="M92" s="199"/>
      <c r="S92" s="189"/>
    </row>
    <row r="93" spans="1:19" ht="12.75" hidden="1" outlineLevel="2">
      <c r="A93" s="100"/>
      <c r="B93" s="106"/>
      <c r="C93" s="102" t="s">
        <v>1195</v>
      </c>
      <c r="D93" s="101"/>
      <c r="E93" s="144">
        <v>5</v>
      </c>
      <c r="F93" s="103"/>
      <c r="G93" s="103"/>
      <c r="H93" s="103"/>
      <c r="I93" s="103"/>
      <c r="J93" s="103"/>
      <c r="K93" s="103"/>
      <c r="L93" s="199"/>
      <c r="M93" s="199"/>
      <c r="S93" s="189"/>
    </row>
    <row r="94" spans="1:19" ht="12.75" outlineLevel="1" collapsed="1">
      <c r="A94" s="84">
        <v>19</v>
      </c>
      <c r="B94" s="85" t="s">
        <v>1094</v>
      </c>
      <c r="C94" s="97" t="s">
        <v>1095</v>
      </c>
      <c r="D94" s="85" t="s">
        <v>25</v>
      </c>
      <c r="E94" s="143">
        <f>SUM(E95:E99)</f>
        <v>75</v>
      </c>
      <c r="F94" s="86">
        <v>0</v>
      </c>
      <c r="G94" s="87">
        <f>SUM(E94*F94)</f>
        <v>0</v>
      </c>
      <c r="H94" s="87">
        <v>0</v>
      </c>
      <c r="I94" s="87">
        <v>0</v>
      </c>
      <c r="J94" s="98">
        <v>0.02053</v>
      </c>
      <c r="K94" s="99">
        <f>SUM(E94*J94)</f>
        <v>1.53975</v>
      </c>
      <c r="L94" s="195"/>
      <c r="M94" s="196">
        <f>SUM(E94*L94)</f>
        <v>0</v>
      </c>
      <c r="S94" s="189"/>
    </row>
    <row r="95" spans="1:19" ht="12.75" hidden="1" outlineLevel="2">
      <c r="A95" s="100"/>
      <c r="B95" s="106"/>
      <c r="C95" s="102" t="s">
        <v>1180</v>
      </c>
      <c r="D95" s="101"/>
      <c r="E95" s="144">
        <v>46</v>
      </c>
      <c r="F95" s="103"/>
      <c r="G95" s="103"/>
      <c r="H95" s="103"/>
      <c r="I95" s="103"/>
      <c r="J95" s="103"/>
      <c r="K95" s="103"/>
      <c r="L95" s="199"/>
      <c r="M95" s="199"/>
      <c r="S95" s="189"/>
    </row>
    <row r="96" spans="1:19" ht="12.75" hidden="1" outlineLevel="2">
      <c r="A96" s="100"/>
      <c r="B96" s="106"/>
      <c r="C96" s="102" t="s">
        <v>1192</v>
      </c>
      <c r="D96" s="101"/>
      <c r="E96" s="144">
        <v>22</v>
      </c>
      <c r="F96" s="103"/>
      <c r="G96" s="103"/>
      <c r="H96" s="103"/>
      <c r="I96" s="103"/>
      <c r="J96" s="103"/>
      <c r="K96" s="103"/>
      <c r="L96" s="199"/>
      <c r="M96" s="199"/>
      <c r="S96" s="189"/>
    </row>
    <row r="97" spans="1:19" ht="12.75" hidden="1" outlineLevel="2">
      <c r="A97" s="100"/>
      <c r="B97" s="106"/>
      <c r="C97" s="102" t="s">
        <v>1196</v>
      </c>
      <c r="D97" s="101"/>
      <c r="E97" s="144">
        <v>5</v>
      </c>
      <c r="F97" s="103"/>
      <c r="G97" s="103"/>
      <c r="H97" s="103"/>
      <c r="I97" s="103"/>
      <c r="J97" s="103"/>
      <c r="K97" s="103"/>
      <c r="L97" s="199"/>
      <c r="M97" s="199"/>
      <c r="S97" s="189"/>
    </row>
    <row r="98" spans="1:19" ht="12.75" hidden="1" outlineLevel="2">
      <c r="A98" s="100"/>
      <c r="B98" s="106"/>
      <c r="C98" s="102" t="s">
        <v>1197</v>
      </c>
      <c r="D98" s="101"/>
      <c r="E98" s="144">
        <v>1</v>
      </c>
      <c r="F98" s="103"/>
      <c r="G98" s="103"/>
      <c r="H98" s="103"/>
      <c r="I98" s="103"/>
      <c r="J98" s="103"/>
      <c r="K98" s="103"/>
      <c r="L98" s="199"/>
      <c r="M98" s="199"/>
      <c r="S98" s="189"/>
    </row>
    <row r="99" spans="1:19" ht="12.75" hidden="1" outlineLevel="2">
      <c r="A99" s="100"/>
      <c r="B99" s="106"/>
      <c r="C99" s="102" t="s">
        <v>1189</v>
      </c>
      <c r="D99" s="101"/>
      <c r="E99" s="144">
        <v>1</v>
      </c>
      <c r="F99" s="103"/>
      <c r="G99" s="103"/>
      <c r="H99" s="103"/>
      <c r="I99" s="103"/>
      <c r="J99" s="103"/>
      <c r="K99" s="103"/>
      <c r="L99" s="199"/>
      <c r="M99" s="199"/>
      <c r="S99" s="189"/>
    </row>
    <row r="100" spans="1:19" ht="12.75" outlineLevel="1" collapsed="1">
      <c r="A100" s="84">
        <v>20</v>
      </c>
      <c r="B100" s="85" t="s">
        <v>1096</v>
      </c>
      <c r="C100" s="97" t="s">
        <v>1097</v>
      </c>
      <c r="D100" s="85" t="s">
        <v>25</v>
      </c>
      <c r="E100" s="143">
        <f>SUM(E101:E102)</f>
        <v>4</v>
      </c>
      <c r="F100" s="86">
        <v>0</v>
      </c>
      <c r="G100" s="87">
        <f>SUM(E100*F100)</f>
        <v>0</v>
      </c>
      <c r="H100" s="87">
        <v>0</v>
      </c>
      <c r="I100" s="87">
        <v>0</v>
      </c>
      <c r="J100" s="98">
        <v>0.02169</v>
      </c>
      <c r="K100" s="99">
        <f>SUM(E100*J100)</f>
        <v>0.08676</v>
      </c>
      <c r="L100" s="195"/>
      <c r="M100" s="196">
        <f>SUM(E100*L100)</f>
        <v>0</v>
      </c>
      <c r="S100" s="189"/>
    </row>
    <row r="101" spans="1:19" ht="12.75" hidden="1" outlineLevel="2">
      <c r="A101" s="100"/>
      <c r="B101" s="106"/>
      <c r="C101" s="102" t="s">
        <v>1193</v>
      </c>
      <c r="D101" s="101"/>
      <c r="E101" s="144">
        <v>3</v>
      </c>
      <c r="F101" s="103"/>
      <c r="G101" s="103"/>
      <c r="H101" s="103"/>
      <c r="I101" s="103"/>
      <c r="J101" s="103"/>
      <c r="K101" s="103"/>
      <c r="L101" s="199"/>
      <c r="M101" s="199"/>
      <c r="S101" s="189"/>
    </row>
    <row r="102" spans="1:19" ht="12.75" hidden="1" outlineLevel="2">
      <c r="A102" s="100"/>
      <c r="B102" s="106"/>
      <c r="C102" s="102" t="s">
        <v>1194</v>
      </c>
      <c r="D102" s="101"/>
      <c r="E102" s="144">
        <v>1</v>
      </c>
      <c r="F102" s="103"/>
      <c r="G102" s="103"/>
      <c r="H102" s="103"/>
      <c r="I102" s="103"/>
      <c r="J102" s="103"/>
      <c r="K102" s="103"/>
      <c r="L102" s="199"/>
      <c r="M102" s="199"/>
      <c r="S102" s="189"/>
    </row>
    <row r="103" spans="1:19" ht="12.75" outlineLevel="1" collapsed="1">
      <c r="A103" s="84">
        <v>21</v>
      </c>
      <c r="B103" s="85" t="s">
        <v>1098</v>
      </c>
      <c r="C103" s="97" t="s">
        <v>1099</v>
      </c>
      <c r="D103" s="85" t="s">
        <v>25</v>
      </c>
      <c r="E103" s="143">
        <v>3</v>
      </c>
      <c r="F103" s="86">
        <v>0</v>
      </c>
      <c r="G103" s="87">
        <f>SUM(E103*F103)</f>
        <v>0</v>
      </c>
      <c r="H103" s="87">
        <v>0</v>
      </c>
      <c r="I103" s="87">
        <v>0</v>
      </c>
      <c r="J103" s="98">
        <v>0.024</v>
      </c>
      <c r="K103" s="99">
        <f>SUM(E103*J103)</f>
        <v>0.07200000000000001</v>
      </c>
      <c r="L103" s="195"/>
      <c r="M103" s="196">
        <f>SUM(E103*L103)</f>
        <v>0</v>
      </c>
      <c r="S103" s="189"/>
    </row>
    <row r="104" spans="1:19" ht="12.75" hidden="1" outlineLevel="2">
      <c r="A104" s="100"/>
      <c r="B104" s="106"/>
      <c r="C104" s="102" t="s">
        <v>1087</v>
      </c>
      <c r="D104" s="101"/>
      <c r="E104" s="144">
        <v>2</v>
      </c>
      <c r="F104" s="103"/>
      <c r="G104" s="103"/>
      <c r="H104" s="103"/>
      <c r="I104" s="103"/>
      <c r="J104" s="103"/>
      <c r="K104" s="103"/>
      <c r="L104" s="199"/>
      <c r="M104" s="199"/>
      <c r="S104" s="189"/>
    </row>
    <row r="105" spans="1:19" ht="12.75" hidden="1" outlineLevel="2">
      <c r="A105" s="100"/>
      <c r="B105" s="106"/>
      <c r="C105" s="102" t="s">
        <v>1088</v>
      </c>
      <c r="D105" s="101"/>
      <c r="E105" s="144">
        <v>1</v>
      </c>
      <c r="F105" s="103"/>
      <c r="G105" s="103"/>
      <c r="H105" s="103"/>
      <c r="I105" s="103"/>
      <c r="J105" s="103"/>
      <c r="K105" s="103"/>
      <c r="L105" s="199"/>
      <c r="M105" s="199"/>
      <c r="S105" s="189"/>
    </row>
    <row r="106" spans="1:19" ht="17.25" customHeight="1" outlineLevel="1" collapsed="1">
      <c r="A106" s="84">
        <v>22</v>
      </c>
      <c r="B106" s="85" t="s">
        <v>1100</v>
      </c>
      <c r="C106" s="97" t="s">
        <v>1101</v>
      </c>
      <c r="D106" s="85" t="s">
        <v>25</v>
      </c>
      <c r="E106" s="143">
        <f>SUM(E107:E108)</f>
        <v>17</v>
      </c>
      <c r="F106" s="86">
        <v>0</v>
      </c>
      <c r="G106" s="87">
        <f>SUM(E106*F106)</f>
        <v>0</v>
      </c>
      <c r="H106" s="87">
        <v>0</v>
      </c>
      <c r="I106" s="87">
        <v>0</v>
      </c>
      <c r="J106" s="98">
        <v>0.02624</v>
      </c>
      <c r="K106" s="99">
        <f>SUM(E106*J106)</f>
        <v>0.44608</v>
      </c>
      <c r="L106" s="195"/>
      <c r="M106" s="196">
        <f>SUM(E106*L106)</f>
        <v>0</v>
      </c>
      <c r="S106" s="189"/>
    </row>
    <row r="107" spans="1:19" ht="12.75" hidden="1" outlineLevel="2">
      <c r="A107" s="100"/>
      <c r="B107" s="106"/>
      <c r="C107" s="102" t="s">
        <v>1186</v>
      </c>
      <c r="D107" s="101"/>
      <c r="E107" s="144">
        <v>12</v>
      </c>
      <c r="F107" s="103"/>
      <c r="G107" s="103"/>
      <c r="H107" s="103"/>
      <c r="I107" s="103"/>
      <c r="J107" s="103"/>
      <c r="K107" s="103"/>
      <c r="L107" s="199"/>
      <c r="M107" s="199"/>
      <c r="S107" s="189"/>
    </row>
    <row r="108" spans="1:19" ht="12.75" hidden="1" outlineLevel="2">
      <c r="A108" s="100"/>
      <c r="B108" s="106"/>
      <c r="C108" s="102" t="s">
        <v>1089</v>
      </c>
      <c r="D108" s="101"/>
      <c r="E108" s="144">
        <v>5</v>
      </c>
      <c r="F108" s="103"/>
      <c r="G108" s="103"/>
      <c r="H108" s="103"/>
      <c r="I108" s="103"/>
      <c r="J108" s="103"/>
      <c r="K108" s="103"/>
      <c r="L108" s="199"/>
      <c r="M108" s="199"/>
      <c r="S108" s="189"/>
    </row>
    <row r="109" spans="1:19" ht="12.75" outlineLevel="1" collapsed="1">
      <c r="A109" s="84">
        <v>23</v>
      </c>
      <c r="B109" s="85" t="s">
        <v>1102</v>
      </c>
      <c r="C109" s="97" t="s">
        <v>1103</v>
      </c>
      <c r="D109" s="85" t="s">
        <v>26</v>
      </c>
      <c r="E109" s="143">
        <f>SUM(E111:E119)</f>
        <v>2956.1899999999996</v>
      </c>
      <c r="F109" s="384">
        <v>0</v>
      </c>
      <c r="G109" s="87">
        <f>SUM(E109*F109)</f>
        <v>0</v>
      </c>
      <c r="H109" s="87">
        <v>0</v>
      </c>
      <c r="I109" s="87">
        <v>0</v>
      </c>
      <c r="J109" s="98">
        <v>0.03054</v>
      </c>
      <c r="K109" s="99">
        <f>SUM(E109*J109)</f>
        <v>90.2820426</v>
      </c>
      <c r="L109" s="195"/>
      <c r="M109" s="196">
        <f>SUM(E109*L109)</f>
        <v>0</v>
      </c>
      <c r="S109" s="189"/>
    </row>
    <row r="110" spans="1:19" ht="12.75" hidden="1" outlineLevel="2">
      <c r="A110" s="100"/>
      <c r="B110" s="106"/>
      <c r="C110" s="102" t="s">
        <v>349</v>
      </c>
      <c r="D110" s="101"/>
      <c r="E110" s="144"/>
      <c r="F110" s="103"/>
      <c r="G110" s="103"/>
      <c r="H110" s="103"/>
      <c r="I110" s="103"/>
      <c r="J110" s="103"/>
      <c r="K110" s="103"/>
      <c r="L110" s="199"/>
      <c r="M110" s="199"/>
      <c r="S110" s="189"/>
    </row>
    <row r="111" spans="1:19" ht="51" customHeight="1" hidden="1" outlineLevel="2">
      <c r="A111" s="100"/>
      <c r="B111" s="106"/>
      <c r="C111" s="102" t="s">
        <v>1198</v>
      </c>
      <c r="D111" s="101"/>
      <c r="E111" s="144">
        <f>69.27+22.52+23.3+99.71+15.11+55.17+12.68+20.92+87.83+17.16+10.29+35.71+36.9+6.57+3.54+7.59+6.1+2.58+16.33+14.64+37.89+4.65+5.59+6.52+6.23+32.49+5.14+6.3+5.84+11.28+20.17+21.31+2.89+9.21+17.39+43.74+37.44+6.11+37.33+16.26+12.81+15.83+9.47+15.4+4.12+24.57+12.66+14.29+8.45+28.51+8.32+2.86+10.27+4.46+27.51+67.71+100.6+2.57</f>
        <v>1268.11</v>
      </c>
      <c r="F111" s="103"/>
      <c r="G111" s="103"/>
      <c r="H111" s="103"/>
      <c r="I111" s="103"/>
      <c r="J111" s="103"/>
      <c r="K111" s="103"/>
      <c r="L111" s="199"/>
      <c r="M111" s="199"/>
      <c r="S111" s="189"/>
    </row>
    <row r="112" spans="1:19" ht="12.75" hidden="1" outlineLevel="2">
      <c r="A112" s="100"/>
      <c r="B112" s="106"/>
      <c r="C112" s="102" t="s">
        <v>1104</v>
      </c>
      <c r="D112" s="101"/>
      <c r="E112" s="144"/>
      <c r="F112" s="103"/>
      <c r="G112" s="103"/>
      <c r="H112" s="103"/>
      <c r="I112" s="103"/>
      <c r="J112" s="103"/>
      <c r="K112" s="103"/>
      <c r="L112" s="199"/>
      <c r="M112" s="199"/>
      <c r="S112" s="189"/>
    </row>
    <row r="113" spans="1:19" ht="12.75" hidden="1" outlineLevel="2">
      <c r="A113" s="100"/>
      <c r="B113" s="106"/>
      <c r="C113" s="102" t="s">
        <v>1105</v>
      </c>
      <c r="D113" s="101"/>
      <c r="E113" s="144">
        <v>200</v>
      </c>
      <c r="F113" s="103"/>
      <c r="G113" s="103"/>
      <c r="H113" s="103"/>
      <c r="I113" s="103"/>
      <c r="J113" s="103"/>
      <c r="K113" s="103"/>
      <c r="L113" s="199"/>
      <c r="M113" s="199"/>
      <c r="S113" s="189"/>
    </row>
    <row r="114" spans="1:19" ht="12.75" hidden="1" outlineLevel="2">
      <c r="A114" s="100"/>
      <c r="B114" s="106"/>
      <c r="C114" s="102" t="s">
        <v>351</v>
      </c>
      <c r="D114" s="101"/>
      <c r="E114" s="144"/>
      <c r="F114" s="103"/>
      <c r="G114" s="103"/>
      <c r="H114" s="103"/>
      <c r="I114" s="103"/>
      <c r="J114" s="103"/>
      <c r="K114" s="103"/>
      <c r="L114" s="199"/>
      <c r="M114" s="199"/>
      <c r="S114" s="189"/>
    </row>
    <row r="115" spans="1:19" ht="12.75" hidden="1" outlineLevel="2">
      <c r="A115" s="100"/>
      <c r="B115" s="106"/>
      <c r="C115" s="102" t="s">
        <v>1105</v>
      </c>
      <c r="D115" s="101"/>
      <c r="E115" s="144">
        <v>200</v>
      </c>
      <c r="F115" s="103"/>
      <c r="G115" s="103"/>
      <c r="H115" s="103"/>
      <c r="I115" s="103"/>
      <c r="J115" s="103"/>
      <c r="K115" s="103"/>
      <c r="L115" s="199"/>
      <c r="M115" s="199"/>
      <c r="S115" s="189"/>
    </row>
    <row r="116" spans="1:19" ht="12.75" hidden="1" outlineLevel="2">
      <c r="A116" s="100"/>
      <c r="B116" s="106"/>
      <c r="C116" s="102" t="s">
        <v>596</v>
      </c>
      <c r="D116" s="101"/>
      <c r="E116" s="144"/>
      <c r="F116" s="103"/>
      <c r="G116" s="103"/>
      <c r="H116" s="103"/>
      <c r="I116" s="103"/>
      <c r="J116" s="103"/>
      <c r="K116" s="103"/>
      <c r="L116" s="199"/>
      <c r="M116" s="199"/>
      <c r="S116" s="189"/>
    </row>
    <row r="117" spans="1:19" ht="12.75" hidden="1" outlineLevel="2">
      <c r="A117" s="100"/>
      <c r="B117" s="106"/>
      <c r="C117" s="102" t="s">
        <v>1105</v>
      </c>
      <c r="D117" s="101"/>
      <c r="E117" s="144">
        <v>200</v>
      </c>
      <c r="F117" s="103"/>
      <c r="G117" s="103"/>
      <c r="H117" s="103"/>
      <c r="I117" s="103"/>
      <c r="J117" s="103"/>
      <c r="K117" s="103"/>
      <c r="L117" s="199"/>
      <c r="M117" s="199"/>
      <c r="S117" s="189"/>
    </row>
    <row r="118" spans="1:19" ht="12.75" hidden="1" outlineLevel="2">
      <c r="A118" s="100"/>
      <c r="B118" s="106"/>
      <c r="C118" s="102" t="s">
        <v>597</v>
      </c>
      <c r="D118" s="101"/>
      <c r="E118" s="144"/>
      <c r="F118" s="103"/>
      <c r="G118" s="103"/>
      <c r="H118" s="103"/>
      <c r="I118" s="103"/>
      <c r="J118" s="103"/>
      <c r="K118" s="103"/>
      <c r="L118" s="199"/>
      <c r="M118" s="199"/>
      <c r="S118" s="189"/>
    </row>
    <row r="119" spans="1:19" ht="33.75" hidden="1" outlineLevel="2">
      <c r="A119" s="100"/>
      <c r="B119" s="106"/>
      <c r="C119" s="102" t="s">
        <v>1199</v>
      </c>
      <c r="D119" s="101"/>
      <c r="E119" s="144">
        <f>69.33+40.42+31.64+36.94+5.37+38.1+26.09+25.47+20.69+29.46+25.47+20.69+29.46+25.89+19.99+21.76+20.57+20.56+9.43+12.31+19.71+19.05+17.47+1.37+36.39+11.72+20.1+22.09+19.95+16.79+27.71+28+27.49+5+36.91+26.43+112.33+109.93</f>
        <v>1088.08</v>
      </c>
      <c r="F119" s="103"/>
      <c r="G119" s="103"/>
      <c r="H119" s="103"/>
      <c r="I119" s="103"/>
      <c r="J119" s="103"/>
      <c r="K119" s="103"/>
      <c r="L119" s="199"/>
      <c r="M119" s="199"/>
      <c r="S119" s="189"/>
    </row>
    <row r="120" spans="1:14" s="189" customFormat="1" ht="12.75" outlineLevel="1" collapsed="1">
      <c r="A120" s="84">
        <v>24</v>
      </c>
      <c r="B120" s="85" t="s">
        <v>598</v>
      </c>
      <c r="C120" s="387" t="s">
        <v>599</v>
      </c>
      <c r="D120" s="459" t="s">
        <v>26</v>
      </c>
      <c r="E120" s="460">
        <f>SUM(E122:E269)</f>
        <v>8183.128999999998</v>
      </c>
      <c r="F120" s="461">
        <v>0</v>
      </c>
      <c r="G120" s="462">
        <f>SUM(E120*F120)</f>
        <v>0</v>
      </c>
      <c r="H120" s="87">
        <v>0</v>
      </c>
      <c r="I120" s="87">
        <v>0</v>
      </c>
      <c r="J120" s="463">
        <v>0.0262</v>
      </c>
      <c r="K120" s="464">
        <f>SUM(E120*J120)</f>
        <v>214.39797979999994</v>
      </c>
      <c r="L120" s="195"/>
      <c r="M120" s="196">
        <f>SUM(E120*L120)</f>
        <v>0</v>
      </c>
      <c r="N120" s="474"/>
    </row>
    <row r="121" spans="1:14" s="189" customFormat="1" ht="12.75" hidden="1" outlineLevel="2">
      <c r="A121" s="100"/>
      <c r="B121" s="106"/>
      <c r="C121" s="455" t="s">
        <v>349</v>
      </c>
      <c r="D121" s="456"/>
      <c r="E121" s="457"/>
      <c r="F121" s="454"/>
      <c r="G121" s="454"/>
      <c r="H121" s="454"/>
      <c r="I121" s="454"/>
      <c r="J121" s="454"/>
      <c r="K121" s="454"/>
      <c r="L121" s="199"/>
      <c r="M121" s="199"/>
      <c r="N121" s="474"/>
    </row>
    <row r="122" spans="1:14" s="189" customFormat="1" ht="12.75" hidden="1" outlineLevel="2">
      <c r="A122" s="100"/>
      <c r="B122" s="106"/>
      <c r="C122" s="458" t="s">
        <v>1339</v>
      </c>
      <c r="D122" s="456"/>
      <c r="E122" s="457">
        <f>3.2*(1.2+2.195)</f>
        <v>10.863999999999999</v>
      </c>
      <c r="F122" s="454"/>
      <c r="G122" s="454"/>
      <c r="H122" s="454"/>
      <c r="I122" s="454"/>
      <c r="J122" s="454"/>
      <c r="K122" s="454"/>
      <c r="L122" s="199"/>
      <c r="M122" s="199"/>
      <c r="N122" s="474"/>
    </row>
    <row r="123" spans="1:14" s="189" customFormat="1" ht="12.75" hidden="1" outlineLevel="2">
      <c r="A123" s="100"/>
      <c r="B123" s="106"/>
      <c r="C123" s="458" t="s">
        <v>1340</v>
      </c>
      <c r="D123" s="456"/>
      <c r="E123" s="457">
        <f>3.2*(1.85+0.9+2.195*2)-2*1.4</f>
        <v>20.048</v>
      </c>
      <c r="F123" s="454"/>
      <c r="G123" s="454"/>
      <c r="H123" s="454"/>
      <c r="I123" s="454"/>
      <c r="J123" s="454"/>
      <c r="K123" s="454"/>
      <c r="L123" s="199"/>
      <c r="M123" s="199"/>
      <c r="N123" s="474"/>
    </row>
    <row r="124" spans="1:14" s="189" customFormat="1" ht="12.75" hidden="1" outlineLevel="2">
      <c r="A124" s="100"/>
      <c r="B124" s="106"/>
      <c r="C124" s="458" t="s">
        <v>1341</v>
      </c>
      <c r="D124" s="456"/>
      <c r="E124" s="457">
        <f>3.2*(4.2+6.5)</f>
        <v>34.24</v>
      </c>
      <c r="F124" s="454"/>
      <c r="G124" s="454"/>
      <c r="H124" s="454"/>
      <c r="I124" s="454"/>
      <c r="J124" s="454"/>
      <c r="K124" s="454"/>
      <c r="L124" s="199"/>
      <c r="M124" s="199"/>
      <c r="N124" s="474"/>
    </row>
    <row r="125" spans="1:14" s="189" customFormat="1" ht="17.25" customHeight="1" hidden="1" outlineLevel="2">
      <c r="A125" s="100"/>
      <c r="B125" s="106"/>
      <c r="C125" s="458" t="s">
        <v>1342</v>
      </c>
      <c r="D125" s="456"/>
      <c r="E125" s="457">
        <f>3.2*(6.35*2)-2.2</f>
        <v>38.44</v>
      </c>
      <c r="F125" s="454"/>
      <c r="G125" s="454"/>
      <c r="H125" s="454"/>
      <c r="I125" s="454"/>
      <c r="J125" s="454"/>
      <c r="K125" s="454"/>
      <c r="L125" s="199"/>
      <c r="M125" s="199"/>
      <c r="N125" s="474"/>
    </row>
    <row r="126" spans="1:14" s="189" customFormat="1" ht="12.75" hidden="1" outlineLevel="2">
      <c r="A126" s="100"/>
      <c r="B126" s="106"/>
      <c r="C126" s="458" t="s">
        <v>1343</v>
      </c>
      <c r="D126" s="456"/>
      <c r="E126" s="457">
        <f>3.2*8.85</f>
        <v>28.32</v>
      </c>
      <c r="F126" s="454"/>
      <c r="G126" s="454"/>
      <c r="H126" s="454"/>
      <c r="I126" s="454"/>
      <c r="J126" s="454"/>
      <c r="K126" s="454"/>
      <c r="L126" s="199"/>
      <c r="M126" s="199"/>
      <c r="N126" s="474"/>
    </row>
    <row r="127" spans="1:14" s="189" customFormat="1" ht="12.75" hidden="1" outlineLevel="2">
      <c r="A127" s="100"/>
      <c r="B127" s="106"/>
      <c r="C127" s="458" t="s">
        <v>1344</v>
      </c>
      <c r="D127" s="456"/>
      <c r="E127" s="457">
        <f>3.2*3.35</f>
        <v>10.72</v>
      </c>
      <c r="F127" s="454"/>
      <c r="G127" s="454"/>
      <c r="H127" s="454"/>
      <c r="I127" s="454"/>
      <c r="J127" s="454"/>
      <c r="K127" s="454"/>
      <c r="L127" s="199"/>
      <c r="M127" s="199"/>
      <c r="N127" s="474"/>
    </row>
    <row r="128" spans="1:14" s="189" customFormat="1" ht="12.75" hidden="1" outlineLevel="2">
      <c r="A128" s="100"/>
      <c r="B128" s="106"/>
      <c r="C128" s="458" t="s">
        <v>1345</v>
      </c>
      <c r="D128" s="456"/>
      <c r="E128" s="457">
        <f>3.2*1.45</f>
        <v>4.64</v>
      </c>
      <c r="F128" s="454"/>
      <c r="G128" s="454"/>
      <c r="H128" s="454"/>
      <c r="I128" s="454"/>
      <c r="J128" s="454"/>
      <c r="K128" s="454"/>
      <c r="L128" s="199"/>
      <c r="M128" s="199"/>
      <c r="N128" s="474"/>
    </row>
    <row r="129" spans="1:14" s="189" customFormat="1" ht="12.75" hidden="1" outlineLevel="2">
      <c r="A129" s="100"/>
      <c r="B129" s="106"/>
      <c r="C129" s="458" t="s">
        <v>1346</v>
      </c>
      <c r="D129" s="456"/>
      <c r="E129" s="457">
        <f>3.2*(6.7+18.14+22.75+10.695)</f>
        <v>186.51200000000003</v>
      </c>
      <c r="F129" s="454"/>
      <c r="G129" s="454"/>
      <c r="H129" s="454"/>
      <c r="I129" s="454"/>
      <c r="J129" s="454"/>
      <c r="K129" s="454"/>
      <c r="L129" s="199"/>
      <c r="M129" s="199"/>
      <c r="N129" s="474"/>
    </row>
    <row r="130" spans="1:14" s="189" customFormat="1" ht="12.75" hidden="1" outlineLevel="2">
      <c r="A130" s="100"/>
      <c r="B130" s="106"/>
      <c r="C130" s="458" t="s">
        <v>1347</v>
      </c>
      <c r="D130" s="456"/>
      <c r="E130" s="457">
        <f>3.2*(4.5+3.25+4.5)</f>
        <v>39.2</v>
      </c>
      <c r="F130" s="454"/>
      <c r="G130" s="454"/>
      <c r="H130" s="454"/>
      <c r="I130" s="454"/>
      <c r="J130" s="454"/>
      <c r="K130" s="454"/>
      <c r="L130" s="199"/>
      <c r="M130" s="199"/>
      <c r="N130" s="474"/>
    </row>
    <row r="131" spans="1:14" s="189" customFormat="1" ht="12.75" hidden="1" outlineLevel="2">
      <c r="A131" s="100"/>
      <c r="B131" s="106"/>
      <c r="C131" s="458" t="s">
        <v>1348</v>
      </c>
      <c r="D131" s="456"/>
      <c r="E131" s="457">
        <f>3.2*1.4</f>
        <v>4.4799999999999995</v>
      </c>
      <c r="F131" s="454"/>
      <c r="G131" s="454"/>
      <c r="H131" s="454"/>
      <c r="I131" s="454"/>
      <c r="J131" s="454"/>
      <c r="K131" s="454"/>
      <c r="L131" s="199"/>
      <c r="M131" s="199"/>
      <c r="N131" s="474"/>
    </row>
    <row r="132" spans="1:14" s="189" customFormat="1" ht="12.75" hidden="1" outlineLevel="2">
      <c r="A132" s="100"/>
      <c r="B132" s="106"/>
      <c r="C132" s="458" t="s">
        <v>1349</v>
      </c>
      <c r="D132" s="456"/>
      <c r="E132" s="457">
        <f>3.2*(2.55+2.42)</f>
        <v>15.904</v>
      </c>
      <c r="F132" s="454"/>
      <c r="G132" s="454"/>
      <c r="H132" s="454"/>
      <c r="I132" s="454"/>
      <c r="J132" s="454"/>
      <c r="K132" s="454"/>
      <c r="L132" s="199"/>
      <c r="M132" s="199"/>
      <c r="N132" s="474"/>
    </row>
    <row r="133" spans="1:14" s="189" customFormat="1" ht="12.75" hidden="1" outlineLevel="2">
      <c r="A133" s="100"/>
      <c r="B133" s="106"/>
      <c r="C133" s="458" t="s">
        <v>1350</v>
      </c>
      <c r="D133" s="456"/>
      <c r="E133" s="457">
        <f>3.2*9</f>
        <v>28.8</v>
      </c>
      <c r="F133" s="454"/>
      <c r="G133" s="454"/>
      <c r="H133" s="454"/>
      <c r="I133" s="454"/>
      <c r="J133" s="454"/>
      <c r="K133" s="454"/>
      <c r="L133" s="199"/>
      <c r="M133" s="199"/>
      <c r="N133" s="474"/>
    </row>
    <row r="134" spans="1:14" s="189" customFormat="1" ht="12.75" hidden="1" outlineLevel="2">
      <c r="A134" s="100"/>
      <c r="B134" s="106"/>
      <c r="C134" s="458" t="s">
        <v>1351</v>
      </c>
      <c r="D134" s="456"/>
      <c r="E134" s="457">
        <f>3.2*8.71</f>
        <v>27.872000000000003</v>
      </c>
      <c r="F134" s="454"/>
      <c r="G134" s="454"/>
      <c r="H134" s="454"/>
      <c r="I134" s="454"/>
      <c r="J134" s="454"/>
      <c r="K134" s="454"/>
      <c r="L134" s="199"/>
      <c r="M134" s="199"/>
      <c r="N134" s="474"/>
    </row>
    <row r="135" spans="1:14" s="189" customFormat="1" ht="12.75" hidden="1" outlineLevel="2">
      <c r="A135" s="100"/>
      <c r="B135" s="106"/>
      <c r="C135" s="458" t="s">
        <v>1352</v>
      </c>
      <c r="D135" s="456"/>
      <c r="E135" s="457">
        <f>3.2*(4.1+2.51)</f>
        <v>21.152</v>
      </c>
      <c r="F135" s="454"/>
      <c r="G135" s="454"/>
      <c r="H135" s="454"/>
      <c r="I135" s="454"/>
      <c r="J135" s="454"/>
      <c r="K135" s="454"/>
      <c r="L135" s="199"/>
      <c r="M135" s="199"/>
      <c r="N135" s="474"/>
    </row>
    <row r="136" spans="1:14" s="189" customFormat="1" ht="12.75" hidden="1" outlineLevel="2">
      <c r="A136" s="100"/>
      <c r="B136" s="106"/>
      <c r="C136" s="458" t="s">
        <v>1353</v>
      </c>
      <c r="D136" s="456"/>
      <c r="E136" s="457">
        <f>3.2*(2.8*2+5.85*2)-3*1.8</f>
        <v>49.959999999999994</v>
      </c>
      <c r="F136" s="454"/>
      <c r="G136" s="454"/>
      <c r="H136" s="454"/>
      <c r="I136" s="454"/>
      <c r="J136" s="454"/>
      <c r="K136" s="454"/>
      <c r="L136" s="199"/>
      <c r="M136" s="199"/>
      <c r="N136" s="474"/>
    </row>
    <row r="137" spans="1:14" s="189" customFormat="1" ht="12.75" hidden="1" outlineLevel="2">
      <c r="A137" s="100"/>
      <c r="B137" s="106"/>
      <c r="C137" s="458" t="s">
        <v>1354</v>
      </c>
      <c r="D137" s="456"/>
      <c r="E137" s="457">
        <f>3.2*(12.33*2+5.85*2)-3*1.8+3.2*(9.9+3.85)</f>
        <v>154.952</v>
      </c>
      <c r="F137" s="454"/>
      <c r="G137" s="454"/>
      <c r="H137" s="454"/>
      <c r="I137" s="454"/>
      <c r="J137" s="454"/>
      <c r="K137" s="454"/>
      <c r="L137" s="199"/>
      <c r="M137" s="199"/>
      <c r="N137" s="474"/>
    </row>
    <row r="138" spans="1:14" s="189" customFormat="1" ht="12.75" hidden="1" outlineLevel="2">
      <c r="A138" s="100"/>
      <c r="B138" s="106"/>
      <c r="C138" s="458" t="s">
        <v>1355</v>
      </c>
      <c r="D138" s="456"/>
      <c r="E138" s="457">
        <f>3.2*(3.4+5.85)*2-2*1.8</f>
        <v>55.6</v>
      </c>
      <c r="F138" s="454"/>
      <c r="G138" s="454"/>
      <c r="H138" s="454"/>
      <c r="I138" s="454"/>
      <c r="J138" s="454"/>
      <c r="K138" s="454"/>
      <c r="L138" s="199"/>
      <c r="M138" s="199"/>
      <c r="N138" s="474"/>
    </row>
    <row r="139" spans="1:14" s="189" customFormat="1" ht="12.75" hidden="1" outlineLevel="2">
      <c r="A139" s="100"/>
      <c r="B139" s="106"/>
      <c r="C139" s="458" t="s">
        <v>1356</v>
      </c>
      <c r="D139" s="456"/>
      <c r="E139" s="457">
        <f>3.2*(7.865+2.25+(1.2+0.6)*2+5.85*3)</f>
        <v>100.048</v>
      </c>
      <c r="F139" s="454"/>
      <c r="G139" s="454"/>
      <c r="H139" s="454"/>
      <c r="I139" s="454"/>
      <c r="J139" s="454"/>
      <c r="K139" s="454"/>
      <c r="L139" s="199"/>
      <c r="M139" s="199"/>
      <c r="N139" s="474"/>
    </row>
    <row r="140" spans="1:14" s="189" customFormat="1" ht="12.75" hidden="1" outlineLevel="2">
      <c r="A140" s="100"/>
      <c r="B140" s="106"/>
      <c r="C140" s="458" t="s">
        <v>1357</v>
      </c>
      <c r="D140" s="456"/>
      <c r="E140" s="457">
        <f>3.2*1.7</f>
        <v>5.44</v>
      </c>
      <c r="F140" s="454"/>
      <c r="G140" s="454"/>
      <c r="H140" s="454"/>
      <c r="I140" s="454"/>
      <c r="J140" s="454"/>
      <c r="K140" s="454"/>
      <c r="L140" s="199"/>
      <c r="M140" s="199"/>
      <c r="N140" s="474"/>
    </row>
    <row r="141" spans="1:14" s="189" customFormat="1" ht="12.75" hidden="1" outlineLevel="2">
      <c r="A141" s="100"/>
      <c r="B141" s="106"/>
      <c r="C141" s="458" t="s">
        <v>1358</v>
      </c>
      <c r="D141" s="456"/>
      <c r="E141" s="457">
        <f>3.2*(1.5+6.2)</f>
        <v>24.64</v>
      </c>
      <c r="F141" s="454"/>
      <c r="G141" s="454"/>
      <c r="H141" s="454"/>
      <c r="I141" s="454"/>
      <c r="J141" s="454"/>
      <c r="K141" s="454"/>
      <c r="L141" s="199"/>
      <c r="M141" s="199"/>
      <c r="N141" s="474"/>
    </row>
    <row r="142" spans="1:14" s="189" customFormat="1" ht="12.75" hidden="1" outlineLevel="2">
      <c r="A142" s="100"/>
      <c r="B142" s="106"/>
      <c r="C142" s="458" t="s">
        <v>1359</v>
      </c>
      <c r="D142" s="456"/>
      <c r="E142" s="457">
        <f>3.2*(2.59+5.85)*2-1.9</f>
        <v>52.116</v>
      </c>
      <c r="F142" s="454"/>
      <c r="G142" s="454"/>
      <c r="H142" s="454"/>
      <c r="I142" s="454"/>
      <c r="J142" s="454"/>
      <c r="K142" s="454"/>
      <c r="L142" s="199"/>
      <c r="M142" s="199"/>
      <c r="N142" s="474"/>
    </row>
    <row r="143" spans="1:14" s="189" customFormat="1" ht="12.75" hidden="1" outlineLevel="2">
      <c r="A143" s="100"/>
      <c r="B143" s="106"/>
      <c r="C143" s="458" t="s">
        <v>1360</v>
      </c>
      <c r="D143" s="456"/>
      <c r="E143" s="457">
        <f>3.2*(7.45*2+4.8*2+2.25+13.24+9.1+2.3)</f>
        <v>164.448</v>
      </c>
      <c r="F143" s="454"/>
      <c r="G143" s="454"/>
      <c r="H143" s="454"/>
      <c r="I143" s="454"/>
      <c r="J143" s="454"/>
      <c r="K143" s="454"/>
      <c r="L143" s="199"/>
      <c r="M143" s="199"/>
      <c r="N143" s="474"/>
    </row>
    <row r="144" spans="1:14" s="189" customFormat="1" ht="12.75" hidden="1" outlineLevel="2">
      <c r="A144" s="100"/>
      <c r="B144" s="106"/>
      <c r="C144" s="458" t="s">
        <v>1361</v>
      </c>
      <c r="D144" s="456"/>
      <c r="E144" s="457">
        <f>3.2*4.95+2.95*3</f>
        <v>24.690000000000005</v>
      </c>
      <c r="F144" s="454"/>
      <c r="G144" s="454"/>
      <c r="H144" s="454"/>
      <c r="I144" s="454"/>
      <c r="J144" s="454"/>
      <c r="K144" s="454"/>
      <c r="L144" s="199"/>
      <c r="M144" s="199"/>
      <c r="N144" s="474"/>
    </row>
    <row r="145" spans="1:14" s="189" customFormat="1" ht="12.75" hidden="1" outlineLevel="2">
      <c r="A145" s="100"/>
      <c r="B145" s="106"/>
      <c r="C145" s="458" t="s">
        <v>1362</v>
      </c>
      <c r="D145" s="456"/>
      <c r="E145" s="457">
        <f>3.2*(10.85+5.85)-3.2*2-2*1.6</f>
        <v>43.839999999999996</v>
      </c>
      <c r="F145" s="454"/>
      <c r="G145" s="454"/>
      <c r="H145" s="454"/>
      <c r="I145" s="454"/>
      <c r="J145" s="454"/>
      <c r="K145" s="454"/>
      <c r="L145" s="199"/>
      <c r="M145" s="199"/>
      <c r="N145" s="474"/>
    </row>
    <row r="146" spans="1:14" s="189" customFormat="1" ht="12.75" hidden="1" outlineLevel="2">
      <c r="A146" s="100"/>
      <c r="B146" s="106"/>
      <c r="C146" s="458" t="s">
        <v>1363</v>
      </c>
      <c r="D146" s="456"/>
      <c r="E146" s="457">
        <f>3.2*(4.95+0.45+2.52)+2.9*2</f>
        <v>31.144000000000002</v>
      </c>
      <c r="F146" s="454"/>
      <c r="G146" s="454"/>
      <c r="H146" s="454"/>
      <c r="I146" s="454"/>
      <c r="J146" s="454"/>
      <c r="K146" s="454"/>
      <c r="L146" s="199"/>
      <c r="M146" s="199"/>
      <c r="N146" s="474"/>
    </row>
    <row r="147" spans="1:14" s="189" customFormat="1" ht="12.75" hidden="1" outlineLevel="2">
      <c r="A147" s="100"/>
      <c r="B147" s="106"/>
      <c r="C147" s="458" t="s">
        <v>1364</v>
      </c>
      <c r="D147" s="456"/>
      <c r="E147" s="457">
        <f>3.2*(4.95+0.45+2.52)+2.9*2</f>
        <v>31.144000000000002</v>
      </c>
      <c r="F147" s="454"/>
      <c r="G147" s="454"/>
      <c r="H147" s="454"/>
      <c r="I147" s="454"/>
      <c r="J147" s="454"/>
      <c r="K147" s="454"/>
      <c r="L147" s="199"/>
      <c r="M147" s="199"/>
      <c r="N147" s="474"/>
    </row>
    <row r="148" spans="1:14" s="189" customFormat="1" ht="12.75" hidden="1" outlineLevel="2">
      <c r="A148" s="100"/>
      <c r="B148" s="106"/>
      <c r="C148" s="458" t="s">
        <v>1365</v>
      </c>
      <c r="D148" s="456"/>
      <c r="E148" s="457">
        <f>3.2*(6+3.55*2)</f>
        <v>41.92</v>
      </c>
      <c r="F148" s="454"/>
      <c r="G148" s="454"/>
      <c r="H148" s="454"/>
      <c r="I148" s="454"/>
      <c r="J148" s="454"/>
      <c r="K148" s="454"/>
      <c r="L148" s="199"/>
      <c r="M148" s="199"/>
      <c r="N148" s="474"/>
    </row>
    <row r="149" spans="1:14" s="189" customFormat="1" ht="12.75" hidden="1" outlineLevel="2">
      <c r="A149" s="100"/>
      <c r="B149" s="106"/>
      <c r="C149" s="458" t="s">
        <v>1366</v>
      </c>
      <c r="D149" s="456"/>
      <c r="E149" s="457">
        <f>3.2*3</f>
        <v>9.600000000000001</v>
      </c>
      <c r="F149" s="454"/>
      <c r="G149" s="454"/>
      <c r="H149" s="454"/>
      <c r="I149" s="454"/>
      <c r="J149" s="454"/>
      <c r="K149" s="454"/>
      <c r="L149" s="199"/>
      <c r="M149" s="199"/>
      <c r="N149" s="474"/>
    </row>
    <row r="150" spans="1:14" s="189" customFormat="1" ht="17.25" customHeight="1" hidden="1" outlineLevel="2">
      <c r="A150" s="100"/>
      <c r="B150" s="106"/>
      <c r="C150" s="458" t="s">
        <v>1367</v>
      </c>
      <c r="D150" s="456"/>
      <c r="E150" s="457">
        <f>3.2*(3.15+5.4+5.85+1)-1.6</f>
        <v>47.68</v>
      </c>
      <c r="F150" s="454"/>
      <c r="G150" s="454"/>
      <c r="H150" s="454"/>
      <c r="I150" s="454"/>
      <c r="J150" s="454"/>
      <c r="K150" s="454"/>
      <c r="L150" s="199"/>
      <c r="M150" s="199"/>
      <c r="N150" s="474"/>
    </row>
    <row r="151" spans="1:14" s="189" customFormat="1" ht="12.75" hidden="1" outlineLevel="2">
      <c r="A151" s="100"/>
      <c r="B151" s="106"/>
      <c r="C151" s="458" t="s">
        <v>1368</v>
      </c>
      <c r="D151" s="456"/>
      <c r="E151" s="457">
        <f>3.2*(7.445+5.85)*2-1.6-1.8</f>
        <v>81.68800000000002</v>
      </c>
      <c r="F151" s="454"/>
      <c r="G151" s="454"/>
      <c r="H151" s="454"/>
      <c r="I151" s="454"/>
      <c r="J151" s="454"/>
      <c r="K151" s="454"/>
      <c r="L151" s="199"/>
      <c r="M151" s="199"/>
      <c r="N151" s="474"/>
    </row>
    <row r="152" spans="1:14" s="189" customFormat="1" ht="12.75" hidden="1" outlineLevel="2">
      <c r="A152" s="100"/>
      <c r="B152" s="106"/>
      <c r="C152" s="458" t="s">
        <v>1540</v>
      </c>
      <c r="D152" s="456"/>
      <c r="E152" s="457">
        <f>3.2*(6.46*2+5.85)-1.8-1.6</f>
        <v>56.664</v>
      </c>
      <c r="F152" s="454"/>
      <c r="G152" s="454"/>
      <c r="H152" s="454"/>
      <c r="I152" s="454"/>
      <c r="J152" s="454"/>
      <c r="K152" s="454"/>
      <c r="L152" s="199"/>
      <c r="M152" s="199"/>
      <c r="N152" s="474"/>
    </row>
    <row r="153" spans="1:14" s="189" customFormat="1" ht="12.75" hidden="1" outlineLevel="2">
      <c r="A153" s="100"/>
      <c r="B153" s="106"/>
      <c r="C153" s="458" t="s">
        <v>1371</v>
      </c>
      <c r="D153" s="456"/>
      <c r="E153" s="457">
        <f>3.2*2.46</f>
        <v>7.872</v>
      </c>
      <c r="F153" s="454"/>
      <c r="G153" s="454"/>
      <c r="H153" s="454"/>
      <c r="I153" s="454"/>
      <c r="J153" s="454"/>
      <c r="K153" s="454"/>
      <c r="L153" s="199"/>
      <c r="M153" s="199"/>
      <c r="N153" s="474"/>
    </row>
    <row r="154" spans="1:14" s="189" customFormat="1" ht="12.75" hidden="1" outlineLevel="2">
      <c r="A154" s="100"/>
      <c r="B154" s="106"/>
      <c r="C154" s="458" t="s">
        <v>1372</v>
      </c>
      <c r="D154" s="456"/>
      <c r="E154" s="457">
        <f>3.2*(4.98+7.45)-1.6</f>
        <v>38.176</v>
      </c>
      <c r="F154" s="454"/>
      <c r="G154" s="454"/>
      <c r="H154" s="454"/>
      <c r="I154" s="454"/>
      <c r="J154" s="454"/>
      <c r="K154" s="454"/>
      <c r="L154" s="199"/>
      <c r="M154" s="199"/>
      <c r="N154" s="474"/>
    </row>
    <row r="155" spans="1:14" s="189" customFormat="1" ht="12.75" hidden="1" outlineLevel="2">
      <c r="A155" s="100"/>
      <c r="B155" s="106"/>
      <c r="C155" s="458" t="s">
        <v>1369</v>
      </c>
      <c r="D155" s="456"/>
      <c r="E155" s="457">
        <f>3.2*(2.7+6.4+3.3+35.4+26.5)-1.6*3-1.8-2.2</f>
        <v>228.95999999999998</v>
      </c>
      <c r="F155" s="454"/>
      <c r="G155" s="454"/>
      <c r="H155" s="454"/>
      <c r="I155" s="454"/>
      <c r="J155" s="454"/>
      <c r="K155" s="454"/>
      <c r="L155" s="199"/>
      <c r="M155" s="199"/>
      <c r="N155" s="474"/>
    </row>
    <row r="156" spans="1:14" s="189" customFormat="1" ht="12.75" hidden="1" outlineLevel="2">
      <c r="A156" s="100"/>
      <c r="B156" s="106"/>
      <c r="C156" s="458" t="s">
        <v>1370</v>
      </c>
      <c r="D156" s="456"/>
      <c r="E156" s="457">
        <f>3.2*(30.2+4+2*4.11+25.03)</f>
        <v>215.84000000000003</v>
      </c>
      <c r="F156" s="454"/>
      <c r="G156" s="454"/>
      <c r="H156" s="454"/>
      <c r="I156" s="454"/>
      <c r="J156" s="454"/>
      <c r="K156" s="454"/>
      <c r="L156" s="199"/>
      <c r="M156" s="199"/>
      <c r="N156" s="474"/>
    </row>
    <row r="157" spans="1:14" s="189" customFormat="1" ht="12.75" hidden="1" outlineLevel="2">
      <c r="A157" s="100"/>
      <c r="B157" s="106"/>
      <c r="C157" s="458" t="s">
        <v>1541</v>
      </c>
      <c r="D157" s="456"/>
      <c r="E157" s="457">
        <f>3.2*(15.65+5.85+15.6)-1.8-3.4</f>
        <v>113.52000000000001</v>
      </c>
      <c r="F157" s="454"/>
      <c r="G157" s="454"/>
      <c r="H157" s="454"/>
      <c r="I157" s="454"/>
      <c r="J157" s="454"/>
      <c r="K157" s="454"/>
      <c r="L157" s="199"/>
      <c r="M157" s="199"/>
      <c r="N157" s="474"/>
    </row>
    <row r="158" spans="1:14" s="189" customFormat="1" ht="12.75" hidden="1" outlineLevel="2">
      <c r="A158" s="100"/>
      <c r="B158" s="106"/>
      <c r="C158" s="458" t="s">
        <v>1104</v>
      </c>
      <c r="D158" s="456"/>
      <c r="E158" s="457"/>
      <c r="F158" s="454"/>
      <c r="G158" s="454"/>
      <c r="H158" s="454"/>
      <c r="I158" s="454"/>
      <c r="J158" s="454"/>
      <c r="K158" s="454"/>
      <c r="L158" s="199"/>
      <c r="M158" s="199"/>
      <c r="N158" s="474"/>
    </row>
    <row r="159" spans="1:14" s="189" customFormat="1" ht="12.75" hidden="1" outlineLevel="2">
      <c r="A159" s="100"/>
      <c r="B159" s="106"/>
      <c r="C159" s="458" t="s">
        <v>1418</v>
      </c>
      <c r="D159" s="456"/>
      <c r="E159" s="457">
        <f>3.2*(5.15+3.7)</f>
        <v>28.320000000000007</v>
      </c>
      <c r="F159" s="454"/>
      <c r="G159" s="454"/>
      <c r="H159" s="454"/>
      <c r="I159" s="454"/>
      <c r="J159" s="454"/>
      <c r="K159" s="454"/>
      <c r="L159" s="199"/>
      <c r="M159" s="199"/>
      <c r="N159" s="474"/>
    </row>
    <row r="160" spans="1:14" s="189" customFormat="1" ht="12.75" hidden="1" outlineLevel="2">
      <c r="A160" s="100"/>
      <c r="B160" s="106"/>
      <c r="C160" s="458" t="s">
        <v>1419</v>
      </c>
      <c r="D160" s="456"/>
      <c r="E160" s="457">
        <f>3.2*(6.05+2.95)</f>
        <v>28.8</v>
      </c>
      <c r="F160" s="454"/>
      <c r="G160" s="454"/>
      <c r="H160" s="454"/>
      <c r="I160" s="454"/>
      <c r="J160" s="454"/>
      <c r="K160" s="454"/>
      <c r="L160" s="199"/>
      <c r="M160" s="199"/>
      <c r="N160" s="474"/>
    </row>
    <row r="161" spans="1:14" s="189" customFormat="1" ht="12.75" hidden="1" outlineLevel="2">
      <c r="A161" s="100"/>
      <c r="B161" s="106"/>
      <c r="C161" s="458" t="s">
        <v>1420</v>
      </c>
      <c r="D161" s="456"/>
      <c r="E161" s="457">
        <f>3.2*(4.5+1.5)</f>
        <v>19.200000000000003</v>
      </c>
      <c r="F161" s="454"/>
      <c r="G161" s="454"/>
      <c r="H161" s="454"/>
      <c r="I161" s="454"/>
      <c r="J161" s="454"/>
      <c r="K161" s="454"/>
      <c r="L161" s="199"/>
      <c r="M161" s="199"/>
      <c r="N161" s="474"/>
    </row>
    <row r="162" spans="1:14" s="189" customFormat="1" ht="12.75" hidden="1" outlineLevel="2">
      <c r="A162" s="100"/>
      <c r="B162" s="106"/>
      <c r="C162" s="458" t="s">
        <v>1421</v>
      </c>
      <c r="D162" s="456"/>
      <c r="E162" s="457">
        <f>3.2*(5.18+2.08)</f>
        <v>23.232</v>
      </c>
      <c r="F162" s="454"/>
      <c r="G162" s="454"/>
      <c r="H162" s="454"/>
      <c r="I162" s="454"/>
      <c r="J162" s="454"/>
      <c r="K162" s="454"/>
      <c r="L162" s="199"/>
      <c r="M162" s="199"/>
      <c r="N162" s="474"/>
    </row>
    <row r="163" spans="1:14" s="189" customFormat="1" ht="12.75" hidden="1" outlineLevel="2">
      <c r="A163" s="100"/>
      <c r="B163" s="106"/>
      <c r="C163" s="458" t="s">
        <v>1422</v>
      </c>
      <c r="D163" s="456"/>
      <c r="E163" s="457">
        <f>3.2*(2.575+5.575)</f>
        <v>26.080000000000002</v>
      </c>
      <c r="F163" s="454"/>
      <c r="G163" s="454"/>
      <c r="H163" s="454"/>
      <c r="I163" s="454"/>
      <c r="J163" s="454"/>
      <c r="K163" s="454"/>
      <c r="L163" s="199"/>
      <c r="M163" s="199"/>
      <c r="N163" s="474"/>
    </row>
    <row r="164" spans="1:14" s="189" customFormat="1" ht="12.75" hidden="1" outlineLevel="2">
      <c r="A164" s="100"/>
      <c r="B164" s="106"/>
      <c r="C164" s="458" t="s">
        <v>1461</v>
      </c>
      <c r="D164" s="456"/>
      <c r="E164" s="457">
        <f>3.2*(7.4+4.375)</f>
        <v>37.68</v>
      </c>
      <c r="F164" s="454"/>
      <c r="G164" s="454"/>
      <c r="H164" s="454"/>
      <c r="I164" s="454"/>
      <c r="J164" s="454"/>
      <c r="K164" s="454"/>
      <c r="L164" s="199"/>
      <c r="M164" s="199"/>
      <c r="N164" s="474"/>
    </row>
    <row r="165" spans="1:14" s="189" customFormat="1" ht="12.75" hidden="1" outlineLevel="2">
      <c r="A165" s="100"/>
      <c r="B165" s="106"/>
      <c r="C165" s="458" t="s">
        <v>1434</v>
      </c>
      <c r="D165" s="456"/>
      <c r="E165" s="457">
        <f>3.2*(29.37+26.58+9.05+5*0.6*4)</f>
        <v>246.4</v>
      </c>
      <c r="F165" s="454"/>
      <c r="G165" s="454"/>
      <c r="H165" s="454"/>
      <c r="I165" s="454"/>
      <c r="J165" s="454"/>
      <c r="K165" s="454"/>
      <c r="L165" s="199"/>
      <c r="M165" s="199"/>
      <c r="N165" s="474"/>
    </row>
    <row r="166" spans="1:14" s="189" customFormat="1" ht="12.75" hidden="1" outlineLevel="2">
      <c r="A166" s="100"/>
      <c r="B166" s="106"/>
      <c r="C166" s="458" t="s">
        <v>1435</v>
      </c>
      <c r="D166" s="456"/>
      <c r="E166" s="457">
        <f>3.2*(3.4+5.88)</f>
        <v>29.695999999999998</v>
      </c>
      <c r="F166" s="454"/>
      <c r="G166" s="454"/>
      <c r="H166" s="454"/>
      <c r="I166" s="454"/>
      <c r="J166" s="454"/>
      <c r="K166" s="454"/>
      <c r="L166" s="199"/>
      <c r="M166" s="199"/>
      <c r="N166" s="474"/>
    </row>
    <row r="167" spans="1:14" s="189" customFormat="1" ht="12.75" hidden="1" outlineLevel="2">
      <c r="A167" s="100"/>
      <c r="B167" s="106"/>
      <c r="C167" s="458" t="s">
        <v>1436</v>
      </c>
      <c r="D167" s="456"/>
      <c r="E167" s="457">
        <f>3.2*(6.4*2)</f>
        <v>40.96000000000001</v>
      </c>
      <c r="F167" s="454"/>
      <c r="G167" s="454"/>
      <c r="H167" s="454"/>
      <c r="I167" s="454"/>
      <c r="J167" s="454"/>
      <c r="K167" s="454"/>
      <c r="L167" s="199"/>
      <c r="M167" s="199"/>
      <c r="N167" s="474"/>
    </row>
    <row r="168" spans="1:14" s="189" customFormat="1" ht="12.75" hidden="1" outlineLevel="2">
      <c r="A168" s="100"/>
      <c r="B168" s="106"/>
      <c r="C168" s="458" t="s">
        <v>1437</v>
      </c>
      <c r="D168" s="456"/>
      <c r="E168" s="457">
        <f>3.2*6.05*2</f>
        <v>38.72</v>
      </c>
      <c r="F168" s="454"/>
      <c r="G168" s="454"/>
      <c r="H168" s="454"/>
      <c r="I168" s="454"/>
      <c r="J168" s="454"/>
      <c r="K168" s="454"/>
      <c r="L168" s="199"/>
      <c r="M168" s="199"/>
      <c r="N168" s="474"/>
    </row>
    <row r="169" spans="1:14" s="189" customFormat="1" ht="12.75" hidden="1" outlineLevel="2">
      <c r="A169" s="100"/>
      <c r="B169" s="106"/>
      <c r="C169" s="458" t="s">
        <v>1438</v>
      </c>
      <c r="D169" s="456"/>
      <c r="E169" s="457">
        <f>3.2*3.8-1.8</f>
        <v>10.36</v>
      </c>
      <c r="F169" s="454"/>
      <c r="G169" s="454"/>
      <c r="H169" s="454"/>
      <c r="I169" s="454"/>
      <c r="J169" s="454"/>
      <c r="K169" s="454"/>
      <c r="L169" s="199"/>
      <c r="M169" s="199"/>
      <c r="N169" s="474"/>
    </row>
    <row r="170" spans="1:14" s="189" customFormat="1" ht="12.75" hidden="1" outlineLevel="2">
      <c r="A170" s="100"/>
      <c r="B170" s="106"/>
      <c r="C170" s="458" t="s">
        <v>1439</v>
      </c>
      <c r="D170" s="456"/>
      <c r="E170" s="457">
        <f>3.2*(6.1*2+3.4)</f>
        <v>49.92</v>
      </c>
      <c r="F170" s="454"/>
      <c r="G170" s="454"/>
      <c r="H170" s="454"/>
      <c r="I170" s="454"/>
      <c r="J170" s="454"/>
      <c r="K170" s="454"/>
      <c r="L170" s="199"/>
      <c r="M170" s="199"/>
      <c r="N170" s="474"/>
    </row>
    <row r="171" spans="1:14" s="189" customFormat="1" ht="12.75" hidden="1" outlineLevel="2">
      <c r="A171" s="100"/>
      <c r="B171" s="106"/>
      <c r="C171" s="458" t="s">
        <v>1440</v>
      </c>
      <c r="D171" s="456"/>
      <c r="E171" s="457">
        <f>3.2*(2.75+3.4)*2-1.8</f>
        <v>37.56000000000001</v>
      </c>
      <c r="F171" s="454"/>
      <c r="G171" s="454"/>
      <c r="H171" s="454"/>
      <c r="I171" s="454"/>
      <c r="J171" s="454"/>
      <c r="K171" s="454"/>
      <c r="L171" s="199"/>
      <c r="M171" s="199"/>
      <c r="N171" s="474"/>
    </row>
    <row r="172" spans="1:14" s="189" customFormat="1" ht="12.75" hidden="1" outlineLevel="2">
      <c r="A172" s="100"/>
      <c r="B172" s="106"/>
      <c r="C172" s="458" t="s">
        <v>1441</v>
      </c>
      <c r="D172" s="456"/>
      <c r="E172" s="457">
        <f>3.2*(3.4+3.62)*2-1.8</f>
        <v>43.128</v>
      </c>
      <c r="F172" s="454"/>
      <c r="G172" s="454"/>
      <c r="H172" s="454"/>
      <c r="I172" s="454"/>
      <c r="J172" s="454"/>
      <c r="K172" s="454"/>
      <c r="L172" s="199"/>
      <c r="M172" s="199"/>
      <c r="N172" s="474"/>
    </row>
    <row r="173" spans="1:14" s="189" customFormat="1" ht="12.75" hidden="1" outlineLevel="2">
      <c r="A173" s="100"/>
      <c r="B173" s="106"/>
      <c r="C173" s="458" t="s">
        <v>1442</v>
      </c>
      <c r="D173" s="456"/>
      <c r="E173" s="457">
        <f>3.2*(3.4+6.23)*2</f>
        <v>61.632000000000005</v>
      </c>
      <c r="F173" s="454"/>
      <c r="G173" s="454"/>
      <c r="H173" s="454"/>
      <c r="I173" s="454"/>
      <c r="J173" s="454"/>
      <c r="K173" s="454"/>
      <c r="L173" s="199"/>
      <c r="M173" s="199"/>
      <c r="N173" s="474"/>
    </row>
    <row r="174" spans="1:14" s="189" customFormat="1" ht="12.75" hidden="1" outlineLevel="2">
      <c r="A174" s="100"/>
      <c r="B174" s="106"/>
      <c r="C174" s="458" t="s">
        <v>1443</v>
      </c>
      <c r="D174" s="456"/>
      <c r="E174" s="457">
        <f>3.2*(44.25*2+1.5)</f>
        <v>288</v>
      </c>
      <c r="F174" s="454"/>
      <c r="G174" s="454"/>
      <c r="H174" s="454"/>
      <c r="I174" s="454"/>
      <c r="J174" s="454"/>
      <c r="K174" s="454"/>
      <c r="L174" s="199"/>
      <c r="M174" s="199"/>
      <c r="N174" s="474"/>
    </row>
    <row r="175" spans="1:14" s="189" customFormat="1" ht="12.75" hidden="1" outlineLevel="2">
      <c r="A175" s="100"/>
      <c r="B175" s="106"/>
      <c r="C175" s="458" t="s">
        <v>1444</v>
      </c>
      <c r="D175" s="456"/>
      <c r="E175" s="457">
        <f>3.2*(6+14.6)*2-3.2*3</f>
        <v>122.24000000000001</v>
      </c>
      <c r="F175" s="454"/>
      <c r="G175" s="454"/>
      <c r="H175" s="454"/>
      <c r="I175" s="454"/>
      <c r="J175" s="454"/>
      <c r="K175" s="454"/>
      <c r="L175" s="199"/>
      <c r="M175" s="199"/>
      <c r="N175" s="474"/>
    </row>
    <row r="176" spans="1:14" s="189" customFormat="1" ht="12.75" hidden="1" outlineLevel="2">
      <c r="A176" s="100"/>
      <c r="B176" s="106"/>
      <c r="C176" s="458" t="s">
        <v>1445</v>
      </c>
      <c r="D176" s="456"/>
      <c r="E176" s="457">
        <f>3.2*(2.55+2.55+2.8)</f>
        <v>25.28</v>
      </c>
      <c r="F176" s="454"/>
      <c r="G176" s="454"/>
      <c r="H176" s="454"/>
      <c r="I176" s="454"/>
      <c r="J176" s="454"/>
      <c r="K176" s="454"/>
      <c r="L176" s="199"/>
      <c r="M176" s="199"/>
      <c r="N176" s="474"/>
    </row>
    <row r="177" spans="1:14" s="189" customFormat="1" ht="12.75" hidden="1" outlineLevel="2">
      <c r="A177" s="100"/>
      <c r="B177" s="106"/>
      <c r="C177" s="458" t="s">
        <v>1446</v>
      </c>
      <c r="D177" s="456"/>
      <c r="E177" s="457">
        <f>3.2*(6.6+8.9*2+3.3+1.5+34.14*2+1.5)</f>
        <v>316.73600000000005</v>
      </c>
      <c r="F177" s="454"/>
      <c r="G177" s="454"/>
      <c r="H177" s="454"/>
      <c r="I177" s="454"/>
      <c r="J177" s="454"/>
      <c r="K177" s="454"/>
      <c r="L177" s="199"/>
      <c r="M177" s="199"/>
      <c r="N177" s="474"/>
    </row>
    <row r="178" spans="1:14" s="189" customFormat="1" ht="12.75" hidden="1" outlineLevel="2">
      <c r="A178" s="100"/>
      <c r="B178" s="106"/>
      <c r="C178" s="458" t="s">
        <v>1447</v>
      </c>
      <c r="D178" s="456"/>
      <c r="E178" s="457">
        <f>3.2*(3+4.3)</f>
        <v>23.36</v>
      </c>
      <c r="F178" s="454"/>
      <c r="G178" s="454"/>
      <c r="H178" s="454"/>
      <c r="I178" s="454"/>
      <c r="J178" s="454"/>
      <c r="K178" s="454"/>
      <c r="L178" s="199"/>
      <c r="M178" s="199"/>
      <c r="N178" s="474"/>
    </row>
    <row r="179" spans="1:14" s="189" customFormat="1" ht="12.75" hidden="1" outlineLevel="2">
      <c r="A179" s="100"/>
      <c r="B179" s="106"/>
      <c r="C179" s="458" t="s">
        <v>1448</v>
      </c>
      <c r="D179" s="456"/>
      <c r="E179" s="457">
        <f>3.2*(2.85+5.7)</f>
        <v>27.360000000000003</v>
      </c>
      <c r="F179" s="454"/>
      <c r="G179" s="454"/>
      <c r="H179" s="454"/>
      <c r="I179" s="454"/>
      <c r="J179" s="454"/>
      <c r="K179" s="454"/>
      <c r="L179" s="199"/>
      <c r="M179" s="199"/>
      <c r="N179" s="474"/>
    </row>
    <row r="180" spans="1:14" s="189" customFormat="1" ht="12.75" hidden="1" outlineLevel="2">
      <c r="A180" s="100"/>
      <c r="B180" s="106"/>
      <c r="C180" s="458" t="s">
        <v>1449</v>
      </c>
      <c r="D180" s="456"/>
      <c r="E180" s="457">
        <f>3.2*3.35</f>
        <v>10.72</v>
      </c>
      <c r="F180" s="454"/>
      <c r="G180" s="454"/>
      <c r="H180" s="454"/>
      <c r="I180" s="454"/>
      <c r="J180" s="454"/>
      <c r="K180" s="454"/>
      <c r="L180" s="199"/>
      <c r="M180" s="199"/>
      <c r="N180" s="474"/>
    </row>
    <row r="181" spans="1:14" s="189" customFormat="1" ht="12.75" hidden="1" outlineLevel="2">
      <c r="A181" s="100"/>
      <c r="B181" s="106"/>
      <c r="C181" s="458" t="s">
        <v>1450</v>
      </c>
      <c r="D181" s="456"/>
      <c r="E181" s="457">
        <f>3.2*(3.4*2+3.675)</f>
        <v>33.52</v>
      </c>
      <c r="F181" s="454"/>
      <c r="G181" s="454"/>
      <c r="H181" s="454"/>
      <c r="I181" s="454"/>
      <c r="J181" s="454"/>
      <c r="K181" s="454"/>
      <c r="L181" s="199"/>
      <c r="M181" s="199"/>
      <c r="N181" s="474"/>
    </row>
    <row r="182" spans="1:14" s="189" customFormat="1" ht="12.75" hidden="1" outlineLevel="2">
      <c r="A182" s="100"/>
      <c r="B182" s="106"/>
      <c r="C182" s="458" t="s">
        <v>1451</v>
      </c>
      <c r="D182" s="456"/>
      <c r="E182" s="457">
        <f>3.2*(5.94*2+3.4)-1.6</f>
        <v>47.29600000000001</v>
      </c>
      <c r="F182" s="454"/>
      <c r="G182" s="454"/>
      <c r="H182" s="454"/>
      <c r="I182" s="454"/>
      <c r="J182" s="454"/>
      <c r="K182" s="454"/>
      <c r="L182" s="199"/>
      <c r="M182" s="199"/>
      <c r="N182" s="474"/>
    </row>
    <row r="183" spans="1:14" s="189" customFormat="1" ht="12.75" hidden="1" outlineLevel="2">
      <c r="A183" s="100"/>
      <c r="B183" s="106"/>
      <c r="C183" s="458" t="s">
        <v>1452</v>
      </c>
      <c r="D183" s="456"/>
      <c r="E183" s="457">
        <f>3.2*3.1-3*1.8</f>
        <v>4.520000000000001</v>
      </c>
      <c r="F183" s="454"/>
      <c r="G183" s="454"/>
      <c r="H183" s="454"/>
      <c r="I183" s="454"/>
      <c r="J183" s="454"/>
      <c r="K183" s="454"/>
      <c r="L183" s="199"/>
      <c r="M183" s="199"/>
      <c r="N183" s="474"/>
    </row>
    <row r="184" spans="1:14" s="189" customFormat="1" ht="12.75" hidden="1" outlineLevel="2">
      <c r="A184" s="100"/>
      <c r="B184" s="106"/>
      <c r="C184" s="458" t="s">
        <v>1453</v>
      </c>
      <c r="D184" s="456"/>
      <c r="E184" s="457">
        <f>3.2*5.45</f>
        <v>17.44</v>
      </c>
      <c r="F184" s="454"/>
      <c r="G184" s="454"/>
      <c r="H184" s="454"/>
      <c r="I184" s="454"/>
      <c r="J184" s="454"/>
      <c r="K184" s="454"/>
      <c r="L184" s="199"/>
      <c r="M184" s="199"/>
      <c r="N184" s="474"/>
    </row>
    <row r="185" spans="1:14" s="189" customFormat="1" ht="12.75" hidden="1" outlineLevel="2">
      <c r="A185" s="100"/>
      <c r="B185" s="106"/>
      <c r="C185" s="458" t="s">
        <v>1454</v>
      </c>
      <c r="D185" s="456"/>
      <c r="E185" s="457">
        <f>3.2*4.975</f>
        <v>15.92</v>
      </c>
      <c r="F185" s="454"/>
      <c r="G185" s="454"/>
      <c r="H185" s="454"/>
      <c r="I185" s="454"/>
      <c r="J185" s="454"/>
      <c r="K185" s="454"/>
      <c r="L185" s="199"/>
      <c r="M185" s="199"/>
      <c r="N185" s="474"/>
    </row>
    <row r="186" spans="1:14" s="189" customFormat="1" ht="12.75" hidden="1" outlineLevel="2">
      <c r="A186" s="100"/>
      <c r="B186" s="106"/>
      <c r="C186" s="458" t="s">
        <v>1455</v>
      </c>
      <c r="D186" s="456"/>
      <c r="E186" s="457">
        <f>3.2*(3.325+4.8)</f>
        <v>26</v>
      </c>
      <c r="F186" s="454"/>
      <c r="G186" s="454"/>
      <c r="H186" s="454"/>
      <c r="I186" s="454"/>
      <c r="J186" s="454"/>
      <c r="K186" s="454"/>
      <c r="L186" s="199"/>
      <c r="M186" s="199"/>
      <c r="N186" s="474"/>
    </row>
    <row r="187" spans="1:14" s="189" customFormat="1" ht="12.75" hidden="1" outlineLevel="2">
      <c r="A187" s="100"/>
      <c r="B187" s="106"/>
      <c r="C187" s="458" t="s">
        <v>1456</v>
      </c>
      <c r="D187" s="456"/>
      <c r="E187" s="457">
        <f>3.2*(5.45+5.9)</f>
        <v>36.32000000000001</v>
      </c>
      <c r="F187" s="454"/>
      <c r="G187" s="454"/>
      <c r="H187" s="454"/>
      <c r="I187" s="454"/>
      <c r="J187" s="454"/>
      <c r="K187" s="454"/>
      <c r="L187" s="199"/>
      <c r="M187" s="199"/>
      <c r="N187" s="474"/>
    </row>
    <row r="188" spans="1:14" s="189" customFormat="1" ht="12.75" hidden="1" outlineLevel="2">
      <c r="A188" s="100"/>
      <c r="B188" s="106"/>
      <c r="C188" s="458" t="s">
        <v>1457</v>
      </c>
      <c r="D188" s="456"/>
      <c r="E188" s="457">
        <f>3.2*(5.615+2.6)-1.8</f>
        <v>24.488</v>
      </c>
      <c r="F188" s="454"/>
      <c r="G188" s="454"/>
      <c r="H188" s="454"/>
      <c r="I188" s="454"/>
      <c r="J188" s="454"/>
      <c r="K188" s="454"/>
      <c r="L188" s="199"/>
      <c r="M188" s="199"/>
      <c r="N188" s="474"/>
    </row>
    <row r="189" spans="1:14" s="189" customFormat="1" ht="12.75" hidden="1" outlineLevel="2">
      <c r="A189" s="100"/>
      <c r="B189" s="106"/>
      <c r="C189" s="458" t="s">
        <v>1458</v>
      </c>
      <c r="D189" s="456"/>
      <c r="E189" s="457">
        <f>3.2*(2.25+5.6)-1.8</f>
        <v>23.32</v>
      </c>
      <c r="F189" s="454"/>
      <c r="G189" s="454"/>
      <c r="H189" s="454"/>
      <c r="I189" s="454"/>
      <c r="J189" s="454"/>
      <c r="K189" s="454"/>
      <c r="L189" s="199"/>
      <c r="M189" s="199"/>
      <c r="N189" s="474"/>
    </row>
    <row r="190" spans="1:14" s="189" customFormat="1" ht="12.75" hidden="1" outlineLevel="2">
      <c r="A190" s="100"/>
      <c r="B190" s="106"/>
      <c r="C190" s="458" t="s">
        <v>1459</v>
      </c>
      <c r="D190" s="456"/>
      <c r="E190" s="457">
        <f>3.2*(7.95+2.5)-1.8</f>
        <v>31.639999999999997</v>
      </c>
      <c r="F190" s="454"/>
      <c r="G190" s="454"/>
      <c r="H190" s="454"/>
      <c r="I190" s="454"/>
      <c r="J190" s="454"/>
      <c r="K190" s="454"/>
      <c r="L190" s="199"/>
      <c r="M190" s="199"/>
      <c r="N190" s="474"/>
    </row>
    <row r="191" spans="1:14" s="189" customFormat="1" ht="12.75" hidden="1" outlineLevel="2">
      <c r="A191" s="100"/>
      <c r="B191" s="106"/>
      <c r="C191" s="458" t="s">
        <v>1460</v>
      </c>
      <c r="D191" s="456"/>
      <c r="E191" s="457">
        <f>3.2*3.25-1.6</f>
        <v>8.8</v>
      </c>
      <c r="F191" s="454"/>
      <c r="G191" s="454"/>
      <c r="H191" s="454"/>
      <c r="I191" s="454"/>
      <c r="J191" s="454"/>
      <c r="K191" s="454"/>
      <c r="L191" s="199"/>
      <c r="M191" s="199"/>
      <c r="N191" s="474"/>
    </row>
    <row r="192" spans="1:14" s="189" customFormat="1" ht="12.75" hidden="1" outlineLevel="2">
      <c r="A192" s="100"/>
      <c r="B192" s="106"/>
      <c r="C192" s="458" t="s">
        <v>351</v>
      </c>
      <c r="D192" s="456"/>
      <c r="E192" s="457"/>
      <c r="F192" s="454"/>
      <c r="G192" s="454"/>
      <c r="H192" s="454"/>
      <c r="I192" s="454"/>
      <c r="J192" s="454"/>
      <c r="K192" s="454"/>
      <c r="L192" s="199"/>
      <c r="M192" s="199"/>
      <c r="N192" s="474"/>
    </row>
    <row r="193" spans="1:14" s="189" customFormat="1" ht="12.75" hidden="1" outlineLevel="2">
      <c r="A193" s="100"/>
      <c r="B193" s="106"/>
      <c r="C193" s="458" t="s">
        <v>1464</v>
      </c>
      <c r="D193" s="456"/>
      <c r="E193" s="457">
        <f>3*(3.4+5.88)</f>
        <v>27.839999999999996</v>
      </c>
      <c r="F193" s="454"/>
      <c r="G193" s="454"/>
      <c r="H193" s="454"/>
      <c r="I193" s="454"/>
      <c r="J193" s="454"/>
      <c r="K193" s="454"/>
      <c r="L193" s="199"/>
      <c r="M193" s="199"/>
      <c r="N193" s="474"/>
    </row>
    <row r="194" spans="1:14" s="189" customFormat="1" ht="12.75" hidden="1" outlineLevel="2">
      <c r="A194" s="100"/>
      <c r="B194" s="106"/>
      <c r="C194" s="458" t="s">
        <v>1467</v>
      </c>
      <c r="D194" s="456"/>
      <c r="E194" s="457">
        <f>3*(2.97)-1.8</f>
        <v>7.11</v>
      </c>
      <c r="F194" s="454"/>
      <c r="G194" s="454"/>
      <c r="H194" s="454"/>
      <c r="I194" s="454"/>
      <c r="J194" s="454"/>
      <c r="K194" s="454"/>
      <c r="L194" s="199"/>
      <c r="M194" s="199"/>
      <c r="N194" s="474"/>
    </row>
    <row r="195" spans="1:14" s="189" customFormat="1" ht="12.75" hidden="1" outlineLevel="2">
      <c r="A195" s="100"/>
      <c r="B195" s="106"/>
      <c r="C195" s="458" t="s">
        <v>1466</v>
      </c>
      <c r="D195" s="456"/>
      <c r="E195" s="457">
        <f>3*(6.4)*2</f>
        <v>38.400000000000006</v>
      </c>
      <c r="F195" s="454"/>
      <c r="G195" s="454"/>
      <c r="H195" s="454"/>
      <c r="I195" s="454"/>
      <c r="J195" s="454"/>
      <c r="K195" s="454"/>
      <c r="L195" s="199"/>
      <c r="M195" s="199"/>
      <c r="N195" s="474"/>
    </row>
    <row r="196" spans="1:14" s="189" customFormat="1" ht="12.75" hidden="1" outlineLevel="2">
      <c r="A196" s="100"/>
      <c r="B196" s="106"/>
      <c r="C196" s="458" t="s">
        <v>1465</v>
      </c>
      <c r="D196" s="456"/>
      <c r="E196" s="457">
        <f>3*(6.5)*2</f>
        <v>39</v>
      </c>
      <c r="F196" s="454"/>
      <c r="G196" s="454"/>
      <c r="H196" s="454"/>
      <c r="I196" s="454"/>
      <c r="J196" s="454"/>
      <c r="K196" s="454"/>
      <c r="L196" s="199"/>
      <c r="M196" s="199"/>
      <c r="N196" s="474"/>
    </row>
    <row r="197" spans="1:14" s="189" customFormat="1" ht="12.75" hidden="1" outlineLevel="2">
      <c r="A197" s="100"/>
      <c r="B197" s="106"/>
      <c r="C197" s="458" t="s">
        <v>1468</v>
      </c>
      <c r="D197" s="456"/>
      <c r="E197" s="457">
        <f>3*3.8-1.8</f>
        <v>9.599999999999998</v>
      </c>
      <c r="F197" s="454"/>
      <c r="G197" s="454"/>
      <c r="H197" s="454"/>
      <c r="I197" s="454"/>
      <c r="J197" s="454"/>
      <c r="K197" s="454"/>
      <c r="L197" s="199"/>
      <c r="M197" s="199"/>
      <c r="N197" s="474"/>
    </row>
    <row r="198" spans="1:14" s="189" customFormat="1" ht="12.75" hidden="1" outlineLevel="2">
      <c r="A198" s="100"/>
      <c r="B198" s="106"/>
      <c r="C198" s="458" t="s">
        <v>1469</v>
      </c>
      <c r="D198" s="456"/>
      <c r="E198" s="457">
        <f>3*6.05*2</f>
        <v>36.3</v>
      </c>
      <c r="F198" s="454"/>
      <c r="G198" s="454"/>
      <c r="H198" s="454"/>
      <c r="I198" s="454"/>
      <c r="J198" s="454"/>
      <c r="K198" s="454"/>
      <c r="L198" s="199"/>
      <c r="M198" s="199"/>
      <c r="N198" s="474"/>
    </row>
    <row r="199" spans="1:14" s="189" customFormat="1" ht="12.75" hidden="1" outlineLevel="2">
      <c r="A199" s="100"/>
      <c r="B199" s="106"/>
      <c r="C199" s="458" t="s">
        <v>1470</v>
      </c>
      <c r="D199" s="456"/>
      <c r="E199" s="457">
        <f>3*2.775*2-1.8</f>
        <v>14.849999999999998</v>
      </c>
      <c r="F199" s="454"/>
      <c r="G199" s="454"/>
      <c r="H199" s="454"/>
      <c r="I199" s="454"/>
      <c r="J199" s="454"/>
      <c r="K199" s="454"/>
      <c r="L199" s="199"/>
      <c r="M199" s="199"/>
      <c r="N199" s="474"/>
    </row>
    <row r="200" spans="1:14" s="189" customFormat="1" ht="12.75" hidden="1" outlineLevel="2">
      <c r="A200" s="100"/>
      <c r="B200" s="106"/>
      <c r="C200" s="458" t="s">
        <v>1471</v>
      </c>
      <c r="D200" s="456"/>
      <c r="E200" s="457">
        <f>3*(3.62*2+3.4*2)-1.8</f>
        <v>40.32</v>
      </c>
      <c r="F200" s="454"/>
      <c r="G200" s="454"/>
      <c r="H200" s="454"/>
      <c r="I200" s="454"/>
      <c r="J200" s="454"/>
      <c r="K200" s="454"/>
      <c r="L200" s="199"/>
      <c r="M200" s="199"/>
      <c r="N200" s="474"/>
    </row>
    <row r="201" spans="1:14" s="189" customFormat="1" ht="12.75" hidden="1" outlineLevel="2">
      <c r="A201" s="100"/>
      <c r="B201" s="106"/>
      <c r="C201" s="458" t="s">
        <v>1472</v>
      </c>
      <c r="D201" s="456"/>
      <c r="E201" s="457">
        <f>3*(3.25+6.8*2)</f>
        <v>50.550000000000004</v>
      </c>
      <c r="F201" s="454"/>
      <c r="G201" s="454"/>
      <c r="H201" s="454"/>
      <c r="I201" s="454"/>
      <c r="J201" s="454"/>
      <c r="K201" s="454"/>
      <c r="L201" s="199"/>
      <c r="M201" s="199"/>
      <c r="N201" s="474"/>
    </row>
    <row r="202" spans="1:14" s="189" customFormat="1" ht="12.75" hidden="1" outlineLevel="2">
      <c r="A202" s="100"/>
      <c r="B202" s="106"/>
      <c r="C202" s="458" t="s">
        <v>1473</v>
      </c>
      <c r="D202" s="456"/>
      <c r="E202" s="457">
        <f>3*(10.625+6)-2-4.75*1.5-1.8*2*2+1.6*2-1.8*2</f>
        <v>33.15</v>
      </c>
      <c r="F202" s="454"/>
      <c r="G202" s="454"/>
      <c r="H202" s="454"/>
      <c r="I202" s="454"/>
      <c r="J202" s="454"/>
      <c r="K202" s="454"/>
      <c r="L202" s="199"/>
      <c r="M202" s="199"/>
      <c r="N202" s="474"/>
    </row>
    <row r="203" spans="1:14" s="189" customFormat="1" ht="12.75" hidden="1" outlineLevel="2">
      <c r="A203" s="100"/>
      <c r="B203" s="106"/>
      <c r="C203" s="458" t="s">
        <v>1474</v>
      </c>
      <c r="D203" s="456"/>
      <c r="E203" s="457">
        <f>3*(5.15+3.7+2.65)-1.8</f>
        <v>32.70000000000001</v>
      </c>
      <c r="F203" s="454"/>
      <c r="G203" s="454"/>
      <c r="H203" s="454"/>
      <c r="I203" s="454"/>
      <c r="J203" s="454"/>
      <c r="K203" s="454"/>
      <c r="L203" s="199"/>
      <c r="M203" s="199"/>
      <c r="N203" s="474"/>
    </row>
    <row r="204" spans="1:14" s="189" customFormat="1" ht="12.75" hidden="1" outlineLevel="2">
      <c r="A204" s="100"/>
      <c r="B204" s="106"/>
      <c r="C204" s="458" t="s">
        <v>1475</v>
      </c>
      <c r="D204" s="456"/>
      <c r="E204" s="457">
        <f>3*(6.02+3.02)-1.8</f>
        <v>25.319999999999997</v>
      </c>
      <c r="F204" s="454"/>
      <c r="G204" s="454"/>
      <c r="H204" s="454"/>
      <c r="I204" s="454"/>
      <c r="J204" s="454"/>
      <c r="K204" s="454"/>
      <c r="L204" s="199"/>
      <c r="M204" s="199"/>
      <c r="N204" s="474"/>
    </row>
    <row r="205" spans="1:14" s="189" customFormat="1" ht="12.75" hidden="1" outlineLevel="2">
      <c r="A205" s="100"/>
      <c r="B205" s="106"/>
      <c r="C205" s="458" t="s">
        <v>1476</v>
      </c>
      <c r="D205" s="456"/>
      <c r="E205" s="457">
        <f>3*(5.34+2.24)-1.8</f>
        <v>20.94</v>
      </c>
      <c r="F205" s="454"/>
      <c r="G205" s="454"/>
      <c r="H205" s="454"/>
      <c r="I205" s="454"/>
      <c r="J205" s="454"/>
      <c r="K205" s="454"/>
      <c r="L205" s="199"/>
      <c r="M205" s="199"/>
      <c r="N205" s="474"/>
    </row>
    <row r="206" spans="1:14" s="189" customFormat="1" ht="12.75" hidden="1" outlineLevel="2">
      <c r="A206" s="100"/>
      <c r="B206" s="106"/>
      <c r="C206" s="458" t="s">
        <v>1477</v>
      </c>
      <c r="D206" s="456"/>
      <c r="E206" s="457">
        <f>3*(5.41+2.41)-1.8</f>
        <v>21.66</v>
      </c>
      <c r="F206" s="454"/>
      <c r="G206" s="454"/>
      <c r="H206" s="454"/>
      <c r="I206" s="454"/>
      <c r="J206" s="454"/>
      <c r="K206" s="454"/>
      <c r="L206" s="199"/>
      <c r="M206" s="199"/>
      <c r="N206" s="474"/>
    </row>
    <row r="207" spans="1:14" s="189" customFormat="1" ht="12.75" hidden="1" outlineLevel="2">
      <c r="A207" s="100"/>
      <c r="B207" s="106"/>
      <c r="C207" s="458" t="s">
        <v>1478</v>
      </c>
      <c r="D207" s="456"/>
      <c r="E207" s="457">
        <f>3*(7.5+4.5)-1.8</f>
        <v>34.2</v>
      </c>
      <c r="F207" s="454"/>
      <c r="G207" s="454"/>
      <c r="H207" s="454"/>
      <c r="I207" s="454"/>
      <c r="J207" s="454"/>
      <c r="K207" s="454"/>
      <c r="L207" s="199"/>
      <c r="M207" s="199"/>
      <c r="N207" s="474"/>
    </row>
    <row r="208" spans="1:14" s="189" customFormat="1" ht="12.75" hidden="1" outlineLevel="2">
      <c r="A208" s="100"/>
      <c r="B208" s="106"/>
      <c r="C208" s="458" t="s">
        <v>1479</v>
      </c>
      <c r="D208" s="456"/>
      <c r="E208" s="457">
        <f>3*(7.425+3.91)-1.8</f>
        <v>32.205000000000005</v>
      </c>
      <c r="F208" s="454"/>
      <c r="G208" s="454"/>
      <c r="H208" s="454"/>
      <c r="I208" s="454"/>
      <c r="J208" s="454"/>
      <c r="K208" s="454"/>
      <c r="L208" s="199"/>
      <c r="M208" s="199"/>
      <c r="N208" s="474"/>
    </row>
    <row r="209" spans="1:14" s="189" customFormat="1" ht="12.75" hidden="1" outlineLevel="2">
      <c r="A209" s="100"/>
      <c r="B209" s="106"/>
      <c r="C209" s="458" t="s">
        <v>1480</v>
      </c>
      <c r="D209" s="456"/>
      <c r="E209" s="457">
        <f>3*(7.07+1.995)-1.8</f>
        <v>25.395000000000003</v>
      </c>
      <c r="F209" s="454"/>
      <c r="G209" s="454"/>
      <c r="H209" s="454"/>
      <c r="I209" s="454"/>
      <c r="J209" s="454"/>
      <c r="K209" s="454"/>
      <c r="L209" s="199"/>
      <c r="M209" s="199"/>
      <c r="N209" s="474"/>
    </row>
    <row r="210" spans="1:14" s="189" customFormat="1" ht="12.75" hidden="1" outlineLevel="2">
      <c r="A210" s="100"/>
      <c r="B210" s="106"/>
      <c r="C210" s="458" t="s">
        <v>1481</v>
      </c>
      <c r="D210" s="456"/>
      <c r="E210" s="457">
        <f>3*(6.75+6+6.75)-1.8</f>
        <v>56.7</v>
      </c>
      <c r="F210" s="454"/>
      <c r="G210" s="454"/>
      <c r="H210" s="454"/>
      <c r="I210" s="454"/>
      <c r="J210" s="454"/>
      <c r="K210" s="454"/>
      <c r="L210" s="199"/>
      <c r="M210" s="199"/>
      <c r="N210" s="474"/>
    </row>
    <row r="211" spans="1:14" s="189" customFormat="1" ht="12.75" hidden="1" outlineLevel="2">
      <c r="A211" s="100"/>
      <c r="B211" s="106"/>
      <c r="C211" s="458" t="s">
        <v>1482</v>
      </c>
      <c r="D211" s="456"/>
      <c r="E211" s="457">
        <f>3*(45.8*2)-4*1.8-7*1.8</f>
        <v>254.99999999999997</v>
      </c>
      <c r="F211" s="454"/>
      <c r="G211" s="454"/>
      <c r="H211" s="454"/>
      <c r="I211" s="454"/>
      <c r="J211" s="454"/>
      <c r="K211" s="454"/>
      <c r="L211" s="199"/>
      <c r="M211" s="199"/>
      <c r="N211" s="474"/>
    </row>
    <row r="212" spans="1:14" s="189" customFormat="1" ht="12.75" hidden="1" outlineLevel="2">
      <c r="A212" s="100"/>
      <c r="B212" s="106"/>
      <c r="C212" s="458" t="s">
        <v>1539</v>
      </c>
      <c r="D212" s="456"/>
      <c r="E212" s="457">
        <f>3*(6+3.6)</f>
        <v>28.799999999999997</v>
      </c>
      <c r="F212" s="454"/>
      <c r="G212" s="454"/>
      <c r="H212" s="454"/>
      <c r="I212" s="454"/>
      <c r="J212" s="454"/>
      <c r="K212" s="454"/>
      <c r="L212" s="199"/>
      <c r="M212" s="199"/>
      <c r="N212" s="474"/>
    </row>
    <row r="213" spans="1:14" s="189" customFormat="1" ht="12.75" hidden="1" outlineLevel="2">
      <c r="A213" s="100"/>
      <c r="B213" s="106"/>
      <c r="C213" s="458" t="s">
        <v>1483</v>
      </c>
      <c r="D213" s="456"/>
      <c r="E213" s="457">
        <f>3*2.575</f>
        <v>7.7250000000000005</v>
      </c>
      <c r="F213" s="454"/>
      <c r="G213" s="454"/>
      <c r="H213" s="454"/>
      <c r="I213" s="454"/>
      <c r="J213" s="454"/>
      <c r="K213" s="454"/>
      <c r="L213" s="199"/>
      <c r="M213" s="199"/>
      <c r="N213" s="474"/>
    </row>
    <row r="214" spans="1:14" s="189" customFormat="1" ht="12.75" hidden="1" outlineLevel="2">
      <c r="A214" s="100"/>
      <c r="B214" s="106"/>
      <c r="C214" s="458" t="s">
        <v>1484</v>
      </c>
      <c r="D214" s="456"/>
      <c r="E214" s="457">
        <f>3*(5.765*2+2.7)-2.2</f>
        <v>40.489999999999995</v>
      </c>
      <c r="F214" s="454"/>
      <c r="G214" s="454"/>
      <c r="H214" s="454"/>
      <c r="I214" s="454"/>
      <c r="J214" s="454"/>
      <c r="K214" s="454"/>
      <c r="L214" s="199"/>
      <c r="M214" s="199"/>
      <c r="N214" s="474"/>
    </row>
    <row r="215" spans="1:14" s="189" customFormat="1" ht="12.75" hidden="1" outlineLevel="2">
      <c r="A215" s="100"/>
      <c r="B215" s="106"/>
      <c r="C215" s="458" t="s">
        <v>1485</v>
      </c>
      <c r="D215" s="456"/>
      <c r="E215" s="457">
        <f>3*(6+6.125)</f>
        <v>36.375</v>
      </c>
      <c r="F215" s="454"/>
      <c r="G215" s="454"/>
      <c r="H215" s="454"/>
      <c r="I215" s="454"/>
      <c r="J215" s="454"/>
      <c r="K215" s="454"/>
      <c r="L215" s="199"/>
      <c r="M215" s="199"/>
      <c r="N215" s="474"/>
    </row>
    <row r="216" spans="1:14" s="189" customFormat="1" ht="12.75" hidden="1" outlineLevel="2">
      <c r="A216" s="100"/>
      <c r="B216" s="106"/>
      <c r="C216" s="458" t="s">
        <v>1486</v>
      </c>
      <c r="D216" s="456"/>
      <c r="E216" s="457">
        <f>3*(3.5*2)-1.8</f>
        <v>19.2</v>
      </c>
      <c r="F216" s="454"/>
      <c r="G216" s="454"/>
      <c r="H216" s="454"/>
      <c r="I216" s="454"/>
      <c r="J216" s="454"/>
      <c r="K216" s="454"/>
      <c r="L216" s="199"/>
      <c r="M216" s="199"/>
      <c r="N216" s="474"/>
    </row>
    <row r="217" spans="1:14" s="189" customFormat="1" ht="12.75" hidden="1" outlineLevel="2">
      <c r="A217" s="100"/>
      <c r="B217" s="106"/>
      <c r="C217" s="458" t="s">
        <v>1487</v>
      </c>
      <c r="D217" s="456"/>
      <c r="E217" s="457">
        <f>3*(3.125+3.35+1.8)-1.8</f>
        <v>23.025000000000002</v>
      </c>
      <c r="F217" s="454"/>
      <c r="G217" s="454"/>
      <c r="H217" s="454"/>
      <c r="I217" s="454"/>
      <c r="J217" s="454"/>
      <c r="K217" s="454"/>
      <c r="L217" s="199"/>
      <c r="M217" s="199"/>
      <c r="N217" s="474"/>
    </row>
    <row r="218" spans="1:14" s="189" customFormat="1" ht="12.75" hidden="1" outlineLevel="2">
      <c r="A218" s="100"/>
      <c r="B218" s="106"/>
      <c r="C218" s="458" t="s">
        <v>1499</v>
      </c>
      <c r="D218" s="456"/>
      <c r="E218" s="457">
        <f>3*(2*6.35)</f>
        <v>38.099999999999994</v>
      </c>
      <c r="F218" s="454"/>
      <c r="G218" s="454"/>
      <c r="H218" s="454"/>
      <c r="I218" s="454"/>
      <c r="J218" s="454"/>
      <c r="K218" s="454"/>
      <c r="L218" s="199"/>
      <c r="M218" s="199"/>
      <c r="N218" s="474"/>
    </row>
    <row r="219" spans="1:14" s="189" customFormat="1" ht="12.75" hidden="1" outlineLevel="2">
      <c r="A219" s="100"/>
      <c r="B219" s="106"/>
      <c r="C219" s="458" t="s">
        <v>1488</v>
      </c>
      <c r="D219" s="456"/>
      <c r="E219" s="457">
        <f>3*(3)-1.8</f>
        <v>7.2</v>
      </c>
      <c r="F219" s="454"/>
      <c r="G219" s="454"/>
      <c r="H219" s="454"/>
      <c r="I219" s="454"/>
      <c r="J219" s="454"/>
      <c r="K219" s="454"/>
      <c r="L219" s="199"/>
      <c r="M219" s="199"/>
      <c r="N219" s="474"/>
    </row>
    <row r="220" spans="1:14" s="189" customFormat="1" ht="12.75" hidden="1" outlineLevel="2">
      <c r="A220" s="100"/>
      <c r="B220" s="106"/>
      <c r="C220" s="458" t="s">
        <v>1489</v>
      </c>
      <c r="D220" s="456"/>
      <c r="E220" s="457">
        <f>3*2*6.595</f>
        <v>39.57</v>
      </c>
      <c r="F220" s="454"/>
      <c r="G220" s="454"/>
      <c r="H220" s="454"/>
      <c r="I220" s="454"/>
      <c r="J220" s="454"/>
      <c r="K220" s="454"/>
      <c r="L220" s="199"/>
      <c r="M220" s="199"/>
      <c r="N220" s="474"/>
    </row>
    <row r="221" spans="1:14" s="189" customFormat="1" ht="12.75" hidden="1" outlineLevel="2">
      <c r="A221" s="100"/>
      <c r="B221" s="106"/>
      <c r="C221" s="458" t="s">
        <v>1490</v>
      </c>
      <c r="D221" s="456"/>
      <c r="E221" s="457">
        <f>3*(6)*2</f>
        <v>36</v>
      </c>
      <c r="F221" s="454"/>
      <c r="G221" s="454"/>
      <c r="H221" s="454"/>
      <c r="I221" s="454"/>
      <c r="J221" s="454"/>
      <c r="K221" s="454"/>
      <c r="L221" s="199"/>
      <c r="M221" s="199"/>
      <c r="N221" s="474"/>
    </row>
    <row r="222" spans="1:14" s="189" customFormat="1" ht="12.75" hidden="1" outlineLevel="2">
      <c r="A222" s="100"/>
      <c r="B222" s="106"/>
      <c r="C222" s="458" t="s">
        <v>1491</v>
      </c>
      <c r="D222" s="456"/>
      <c r="E222" s="457">
        <f>3*3-1.8</f>
        <v>7.2</v>
      </c>
      <c r="F222" s="454"/>
      <c r="G222" s="454"/>
      <c r="H222" s="454"/>
      <c r="I222" s="454"/>
      <c r="J222" s="454"/>
      <c r="K222" s="454"/>
      <c r="L222" s="199"/>
      <c r="M222" s="199"/>
      <c r="N222" s="474"/>
    </row>
    <row r="223" spans="1:14" s="189" customFormat="1" ht="12.75" hidden="1" outlineLevel="2">
      <c r="A223" s="100"/>
      <c r="B223" s="106"/>
      <c r="C223" s="458" t="s">
        <v>1492</v>
      </c>
      <c r="D223" s="456"/>
      <c r="E223" s="457">
        <f>3*(5.05+3.325)</f>
        <v>25.125</v>
      </c>
      <c r="F223" s="454"/>
      <c r="G223" s="454"/>
      <c r="H223" s="454"/>
      <c r="I223" s="454"/>
      <c r="J223" s="454"/>
      <c r="K223" s="454"/>
      <c r="L223" s="199"/>
      <c r="M223" s="199"/>
      <c r="N223" s="474"/>
    </row>
    <row r="224" spans="1:14" s="189" customFormat="1" ht="12.75" hidden="1" outlineLevel="2">
      <c r="A224" s="100"/>
      <c r="B224" s="106"/>
      <c r="C224" s="458" t="s">
        <v>1493</v>
      </c>
      <c r="D224" s="456"/>
      <c r="E224" s="457">
        <f>3*(5.45+6+2.59)-1.8</f>
        <v>40.32</v>
      </c>
      <c r="F224" s="454"/>
      <c r="G224" s="454"/>
      <c r="H224" s="454"/>
      <c r="I224" s="454"/>
      <c r="J224" s="454"/>
      <c r="K224" s="454"/>
      <c r="L224" s="199"/>
      <c r="M224" s="199"/>
      <c r="N224" s="474"/>
    </row>
    <row r="225" spans="1:14" s="189" customFormat="1" ht="12.75" hidden="1" outlineLevel="2">
      <c r="A225" s="100"/>
      <c r="B225" s="106"/>
      <c r="C225" s="458" t="s">
        <v>1494</v>
      </c>
      <c r="D225" s="456"/>
      <c r="E225" s="457">
        <f>3*(5.615+2.6)-1.8</f>
        <v>22.845</v>
      </c>
      <c r="F225" s="454"/>
      <c r="G225" s="454"/>
      <c r="H225" s="454"/>
      <c r="I225" s="454"/>
      <c r="J225" s="454"/>
      <c r="K225" s="454"/>
      <c r="L225" s="199"/>
      <c r="M225" s="199"/>
      <c r="N225" s="474"/>
    </row>
    <row r="226" spans="1:14" s="189" customFormat="1" ht="12.75" hidden="1" outlineLevel="2">
      <c r="A226" s="100"/>
      <c r="B226" s="106"/>
      <c r="C226" s="458" t="s">
        <v>1495</v>
      </c>
      <c r="D226" s="456"/>
      <c r="E226" s="457">
        <f>3*(5.605+2.25)-1.8</f>
        <v>21.765</v>
      </c>
      <c r="F226" s="454"/>
      <c r="G226" s="454"/>
      <c r="H226" s="454"/>
      <c r="I226" s="454"/>
      <c r="J226" s="454"/>
      <c r="K226" s="454"/>
      <c r="L226" s="199"/>
      <c r="M226" s="199"/>
      <c r="N226" s="474"/>
    </row>
    <row r="227" spans="1:14" s="189" customFormat="1" ht="12.75" hidden="1" outlineLevel="2">
      <c r="A227" s="100"/>
      <c r="B227" s="106"/>
      <c r="C227" s="458" t="s">
        <v>1496</v>
      </c>
      <c r="D227" s="456"/>
      <c r="E227" s="457">
        <f>3*(7.95+2.49)-1.8</f>
        <v>29.520000000000003</v>
      </c>
      <c r="F227" s="454"/>
      <c r="G227" s="454"/>
      <c r="H227" s="454"/>
      <c r="I227" s="454"/>
      <c r="J227" s="454"/>
      <c r="K227" s="454"/>
      <c r="L227" s="199"/>
      <c r="M227" s="199"/>
      <c r="N227" s="474"/>
    </row>
    <row r="228" spans="1:14" s="189" customFormat="1" ht="12.75" hidden="1" outlineLevel="2">
      <c r="A228" s="100"/>
      <c r="B228" s="106"/>
      <c r="C228" s="458" t="s">
        <v>1497</v>
      </c>
      <c r="D228" s="456"/>
      <c r="E228" s="457">
        <f>3*(6+5.175+2.625)-1.8</f>
        <v>39.60000000000001</v>
      </c>
      <c r="F228" s="454"/>
      <c r="G228" s="454"/>
      <c r="H228" s="454"/>
      <c r="I228" s="454"/>
      <c r="J228" s="454"/>
      <c r="K228" s="454"/>
      <c r="L228" s="199"/>
      <c r="M228" s="199"/>
      <c r="N228" s="474"/>
    </row>
    <row r="229" spans="1:14" s="189" customFormat="1" ht="12.75" hidden="1" outlineLevel="2">
      <c r="A229" s="100"/>
      <c r="B229" s="106"/>
      <c r="C229" s="458" t="s">
        <v>1498</v>
      </c>
      <c r="D229" s="456"/>
      <c r="E229" s="457">
        <f>3*(6.45*2+3.8+2.5+37.295+2.95+30.95)-11*1.8-1.4</f>
        <v>249.98500000000004</v>
      </c>
      <c r="F229" s="454"/>
      <c r="G229" s="454"/>
      <c r="H229" s="454"/>
      <c r="I229" s="454"/>
      <c r="J229" s="454"/>
      <c r="K229" s="454"/>
      <c r="L229" s="199"/>
      <c r="M229" s="199"/>
      <c r="N229" s="474"/>
    </row>
    <row r="230" spans="1:14" s="189" customFormat="1" ht="12.75" hidden="1" outlineLevel="2">
      <c r="A230" s="100"/>
      <c r="B230" s="106"/>
      <c r="C230" s="458" t="s">
        <v>596</v>
      </c>
      <c r="D230" s="456"/>
      <c r="E230" s="457"/>
      <c r="F230" s="454"/>
      <c r="G230" s="454"/>
      <c r="H230" s="454"/>
      <c r="I230" s="454"/>
      <c r="J230" s="454"/>
      <c r="K230" s="454"/>
      <c r="L230" s="199"/>
      <c r="M230" s="199"/>
      <c r="N230" s="474"/>
    </row>
    <row r="231" spans="1:14" s="189" customFormat="1" ht="12.75" hidden="1" outlineLevel="2">
      <c r="A231" s="100"/>
      <c r="B231" s="106"/>
      <c r="C231" s="458" t="s">
        <v>1500</v>
      </c>
      <c r="D231" s="456"/>
      <c r="E231" s="457">
        <f>SUM(E193:E230)</f>
        <v>1514.085</v>
      </c>
      <c r="F231" s="454"/>
      <c r="G231" s="454"/>
      <c r="H231" s="454"/>
      <c r="I231" s="454"/>
      <c r="J231" s="454"/>
      <c r="K231" s="454"/>
      <c r="L231" s="199"/>
      <c r="M231" s="199"/>
      <c r="N231" s="474"/>
    </row>
    <row r="232" spans="1:14" s="189" customFormat="1" ht="12.75" hidden="1" outlineLevel="2">
      <c r="A232" s="100"/>
      <c r="B232" s="106"/>
      <c r="C232" s="458" t="s">
        <v>597</v>
      </c>
      <c r="D232" s="456"/>
      <c r="E232" s="457"/>
      <c r="F232" s="454"/>
      <c r="G232" s="454"/>
      <c r="H232" s="454"/>
      <c r="I232" s="454"/>
      <c r="J232" s="454"/>
      <c r="K232" s="454"/>
      <c r="L232" s="199"/>
      <c r="M232" s="199"/>
      <c r="N232" s="474"/>
    </row>
    <row r="233" spans="1:14" s="189" customFormat="1" ht="12.75" hidden="1" outlineLevel="2">
      <c r="A233" s="100"/>
      <c r="B233" s="106"/>
      <c r="C233" s="458" t="s">
        <v>1501</v>
      </c>
      <c r="D233" s="456"/>
      <c r="E233" s="457">
        <f>2.6*(3.4+5.88)</f>
        <v>24.128</v>
      </c>
      <c r="F233" s="454"/>
      <c r="G233" s="454"/>
      <c r="H233" s="454"/>
      <c r="I233" s="454"/>
      <c r="J233" s="454"/>
      <c r="K233" s="454"/>
      <c r="L233" s="199"/>
      <c r="M233" s="199"/>
      <c r="N233" s="474"/>
    </row>
    <row r="234" spans="1:14" s="189" customFormat="1" ht="12.75" hidden="1" outlineLevel="2">
      <c r="A234" s="100"/>
      <c r="B234" s="106"/>
      <c r="C234" s="458" t="s">
        <v>1502</v>
      </c>
      <c r="D234" s="456"/>
      <c r="E234" s="457">
        <f>2.6*(2.97)-1.8</f>
        <v>5.922000000000001</v>
      </c>
      <c r="F234" s="454"/>
      <c r="G234" s="454"/>
      <c r="H234" s="454"/>
      <c r="I234" s="454"/>
      <c r="J234" s="454"/>
      <c r="K234" s="454"/>
      <c r="L234" s="199"/>
      <c r="M234" s="199"/>
      <c r="N234" s="474"/>
    </row>
    <row r="235" spans="1:14" s="189" customFormat="1" ht="12.75" hidden="1" outlineLevel="2">
      <c r="A235" s="100"/>
      <c r="B235" s="106"/>
      <c r="C235" s="458" t="s">
        <v>1503</v>
      </c>
      <c r="D235" s="456"/>
      <c r="E235" s="457">
        <f>2.6*(6.4)*2</f>
        <v>33.28</v>
      </c>
      <c r="F235" s="454"/>
      <c r="G235" s="454"/>
      <c r="H235" s="454"/>
      <c r="I235" s="454"/>
      <c r="J235" s="454"/>
      <c r="K235" s="454"/>
      <c r="L235" s="199"/>
      <c r="M235" s="199"/>
      <c r="N235" s="474"/>
    </row>
    <row r="236" spans="1:14" s="189" customFormat="1" ht="12.75" hidden="1" outlineLevel="2">
      <c r="A236" s="100"/>
      <c r="B236" s="106"/>
      <c r="C236" s="458" t="s">
        <v>1504</v>
      </c>
      <c r="D236" s="456"/>
      <c r="E236" s="457">
        <f>2.6*(6.5)*2</f>
        <v>33.800000000000004</v>
      </c>
      <c r="F236" s="454"/>
      <c r="G236" s="454"/>
      <c r="H236" s="454"/>
      <c r="I236" s="454"/>
      <c r="J236" s="454"/>
      <c r="K236" s="454"/>
      <c r="L236" s="199"/>
      <c r="M236" s="199"/>
      <c r="N236" s="474"/>
    </row>
    <row r="237" spans="1:14" s="189" customFormat="1" ht="12.75" hidden="1" outlineLevel="2">
      <c r="A237" s="100"/>
      <c r="B237" s="106"/>
      <c r="C237" s="458" t="s">
        <v>1505</v>
      </c>
      <c r="D237" s="456"/>
      <c r="E237" s="457">
        <f>2.6*3.8-1.8</f>
        <v>8.079999999999998</v>
      </c>
      <c r="F237" s="454"/>
      <c r="G237" s="454"/>
      <c r="H237" s="454"/>
      <c r="I237" s="454"/>
      <c r="J237" s="454"/>
      <c r="K237" s="454"/>
      <c r="L237" s="199"/>
      <c r="M237" s="199"/>
      <c r="N237" s="474"/>
    </row>
    <row r="238" spans="1:14" s="189" customFormat="1" ht="12.75" hidden="1" outlineLevel="2">
      <c r="A238" s="100"/>
      <c r="B238" s="106"/>
      <c r="C238" s="458" t="s">
        <v>1506</v>
      </c>
      <c r="D238" s="456"/>
      <c r="E238" s="457">
        <f>2.6*6.05*2</f>
        <v>31.46</v>
      </c>
      <c r="F238" s="454"/>
      <c r="G238" s="454"/>
      <c r="H238" s="454"/>
      <c r="I238" s="454"/>
      <c r="J238" s="454"/>
      <c r="K238" s="454"/>
      <c r="L238" s="199"/>
      <c r="M238" s="199"/>
      <c r="N238" s="474"/>
    </row>
    <row r="239" spans="1:14" s="189" customFormat="1" ht="12.75" hidden="1" outlineLevel="2">
      <c r="A239" s="100"/>
      <c r="B239" s="106"/>
      <c r="C239" s="458" t="s">
        <v>1507</v>
      </c>
      <c r="D239" s="456"/>
      <c r="E239" s="457">
        <f>2.6*2.775*2-1.8</f>
        <v>12.629999999999999</v>
      </c>
      <c r="F239" s="454"/>
      <c r="G239" s="454"/>
      <c r="H239" s="454"/>
      <c r="I239" s="454"/>
      <c r="J239" s="454"/>
      <c r="K239" s="454"/>
      <c r="L239" s="199"/>
      <c r="M239" s="199"/>
      <c r="N239" s="474"/>
    </row>
    <row r="240" spans="1:14" s="189" customFormat="1" ht="12.75" hidden="1" outlineLevel="2">
      <c r="A240" s="100"/>
      <c r="B240" s="106"/>
      <c r="C240" s="458" t="s">
        <v>1508</v>
      </c>
      <c r="D240" s="456"/>
      <c r="E240" s="457">
        <f>2.6*(3.62*2+3.4*2)-1.8</f>
        <v>34.704</v>
      </c>
      <c r="F240" s="454"/>
      <c r="G240" s="454"/>
      <c r="H240" s="454"/>
      <c r="I240" s="454"/>
      <c r="J240" s="454"/>
      <c r="K240" s="454"/>
      <c r="L240" s="199"/>
      <c r="M240" s="199"/>
      <c r="N240" s="474"/>
    </row>
    <row r="241" spans="1:14" s="189" customFormat="1" ht="12.75" hidden="1" outlineLevel="2">
      <c r="A241" s="100"/>
      <c r="B241" s="106"/>
      <c r="C241" s="458" t="s">
        <v>1509</v>
      </c>
      <c r="D241" s="456"/>
      <c r="E241" s="457">
        <f>2.6*(3.25+6.8*2)</f>
        <v>43.81</v>
      </c>
      <c r="F241" s="454"/>
      <c r="G241" s="454"/>
      <c r="H241" s="454"/>
      <c r="I241" s="454"/>
      <c r="J241" s="454"/>
      <c r="K241" s="454"/>
      <c r="L241" s="199"/>
      <c r="M241" s="199"/>
      <c r="N241" s="474"/>
    </row>
    <row r="242" spans="1:14" s="189" customFormat="1" ht="12.75" hidden="1" outlineLevel="2">
      <c r="A242" s="100"/>
      <c r="B242" s="106"/>
      <c r="C242" s="458" t="s">
        <v>1510</v>
      </c>
      <c r="D242" s="456"/>
      <c r="E242" s="457">
        <f>2.6*(10.625+6)-2-4.75*1.5-1.8*2*2+1.6*2-1.8*2</f>
        <v>26.5</v>
      </c>
      <c r="F242" s="454"/>
      <c r="G242" s="454"/>
      <c r="H242" s="454"/>
      <c r="I242" s="454"/>
      <c r="J242" s="454"/>
      <c r="K242" s="454"/>
      <c r="L242" s="199"/>
      <c r="M242" s="199"/>
      <c r="N242" s="474"/>
    </row>
    <row r="243" spans="1:14" s="189" customFormat="1" ht="12.75" hidden="1" outlineLevel="2">
      <c r="A243" s="100"/>
      <c r="B243" s="106"/>
      <c r="C243" s="458" t="s">
        <v>1511</v>
      </c>
      <c r="D243" s="456"/>
      <c r="E243" s="457">
        <f>2.6*(5.15+3.7+2.65)-1.8</f>
        <v>28.100000000000005</v>
      </c>
      <c r="F243" s="454"/>
      <c r="G243" s="454"/>
      <c r="H243" s="454"/>
      <c r="I243" s="454"/>
      <c r="J243" s="454"/>
      <c r="K243" s="454"/>
      <c r="L243" s="199"/>
      <c r="M243" s="199"/>
      <c r="N243" s="474"/>
    </row>
    <row r="244" spans="1:14" s="189" customFormat="1" ht="12.75" hidden="1" outlineLevel="2">
      <c r="A244" s="100"/>
      <c r="B244" s="106"/>
      <c r="C244" s="458" t="s">
        <v>1512</v>
      </c>
      <c r="D244" s="456"/>
      <c r="E244" s="457">
        <f>2.6*(6.02+3.02)-1.8</f>
        <v>21.703999999999997</v>
      </c>
      <c r="F244" s="454"/>
      <c r="G244" s="454"/>
      <c r="H244" s="454"/>
      <c r="I244" s="454"/>
      <c r="J244" s="454"/>
      <c r="K244" s="454"/>
      <c r="L244" s="199"/>
      <c r="M244" s="199"/>
      <c r="N244" s="474"/>
    </row>
    <row r="245" spans="1:14" s="189" customFormat="1" ht="12.75" hidden="1" outlineLevel="2">
      <c r="A245" s="100"/>
      <c r="B245" s="106"/>
      <c r="C245" s="458" t="s">
        <v>1513</v>
      </c>
      <c r="D245" s="456"/>
      <c r="E245" s="457">
        <f>2.6*(5.34+2.24)-1.8</f>
        <v>17.908</v>
      </c>
      <c r="F245" s="454"/>
      <c r="G245" s="454"/>
      <c r="H245" s="454"/>
      <c r="I245" s="454"/>
      <c r="J245" s="454"/>
      <c r="K245" s="454"/>
      <c r="L245" s="199"/>
      <c r="M245" s="199"/>
      <c r="N245" s="474"/>
    </row>
    <row r="246" spans="1:14" s="189" customFormat="1" ht="12.75" hidden="1" outlineLevel="2">
      <c r="A246" s="100"/>
      <c r="B246" s="106"/>
      <c r="C246" s="458" t="s">
        <v>1514</v>
      </c>
      <c r="D246" s="456"/>
      <c r="E246" s="457">
        <f>2.6*(5.41+2.41)-1.8</f>
        <v>18.532</v>
      </c>
      <c r="F246" s="454"/>
      <c r="G246" s="454"/>
      <c r="H246" s="454"/>
      <c r="I246" s="454"/>
      <c r="J246" s="454"/>
      <c r="K246" s="454"/>
      <c r="L246" s="199"/>
      <c r="M246" s="199"/>
      <c r="N246" s="474"/>
    </row>
    <row r="247" spans="1:14" s="189" customFormat="1" ht="12.75" hidden="1" outlineLevel="2">
      <c r="A247" s="100"/>
      <c r="B247" s="106"/>
      <c r="C247" s="458" t="s">
        <v>1515</v>
      </c>
      <c r="D247" s="456"/>
      <c r="E247" s="457">
        <f>2.6*(7.5+4.5)-1.8</f>
        <v>29.400000000000002</v>
      </c>
      <c r="F247" s="454"/>
      <c r="G247" s="454"/>
      <c r="H247" s="454"/>
      <c r="I247" s="454"/>
      <c r="J247" s="454"/>
      <c r="K247" s="454"/>
      <c r="L247" s="199"/>
      <c r="M247" s="199"/>
      <c r="N247" s="474"/>
    </row>
    <row r="248" spans="1:14" s="189" customFormat="1" ht="12.75" hidden="1" outlineLevel="2">
      <c r="A248" s="100"/>
      <c r="B248" s="106"/>
      <c r="C248" s="458" t="s">
        <v>1516</v>
      </c>
      <c r="D248" s="456"/>
      <c r="E248" s="457">
        <f>2.6*(7.425+3.91)-1.8</f>
        <v>27.671000000000003</v>
      </c>
      <c r="F248" s="454"/>
      <c r="G248" s="454"/>
      <c r="H248" s="454"/>
      <c r="I248" s="454"/>
      <c r="J248" s="454"/>
      <c r="K248" s="454"/>
      <c r="L248" s="199"/>
      <c r="M248" s="199"/>
      <c r="N248" s="474"/>
    </row>
    <row r="249" spans="1:14" s="189" customFormat="1" ht="12.75" hidden="1" outlineLevel="2">
      <c r="A249" s="100"/>
      <c r="B249" s="106"/>
      <c r="C249" s="458" t="s">
        <v>1517</v>
      </c>
      <c r="D249" s="456"/>
      <c r="E249" s="457">
        <f>2.6*(7.07+1.995)-1.8</f>
        <v>21.769000000000002</v>
      </c>
      <c r="F249" s="454"/>
      <c r="G249" s="454"/>
      <c r="H249" s="454"/>
      <c r="I249" s="454"/>
      <c r="J249" s="454"/>
      <c r="K249" s="454"/>
      <c r="L249" s="199"/>
      <c r="M249" s="199"/>
      <c r="N249" s="474"/>
    </row>
    <row r="250" spans="1:14" s="189" customFormat="1" ht="12.75" hidden="1" outlineLevel="2">
      <c r="A250" s="100"/>
      <c r="B250" s="106"/>
      <c r="C250" s="458" t="s">
        <v>1518</v>
      </c>
      <c r="D250" s="456"/>
      <c r="E250" s="457">
        <f>2.6*(6.75+6+6.75)-1.8</f>
        <v>48.900000000000006</v>
      </c>
      <c r="F250" s="454"/>
      <c r="G250" s="454"/>
      <c r="H250" s="454"/>
      <c r="I250" s="454"/>
      <c r="J250" s="454"/>
      <c r="K250" s="454"/>
      <c r="L250" s="199"/>
      <c r="M250" s="199"/>
      <c r="N250" s="474"/>
    </row>
    <row r="251" spans="1:14" s="189" customFormat="1" ht="12.75" hidden="1" outlineLevel="2">
      <c r="A251" s="100"/>
      <c r="B251" s="106"/>
      <c r="C251" s="458" t="s">
        <v>1519</v>
      </c>
      <c r="D251" s="456"/>
      <c r="E251" s="457">
        <f>2.6*(45.8*2)-4*1.8-7*1.8</f>
        <v>218.36</v>
      </c>
      <c r="F251" s="454"/>
      <c r="G251" s="454"/>
      <c r="H251" s="454"/>
      <c r="I251" s="454"/>
      <c r="J251" s="454"/>
      <c r="K251" s="454"/>
      <c r="L251" s="199"/>
      <c r="M251" s="199"/>
      <c r="N251" s="474"/>
    </row>
    <row r="252" spans="1:14" s="189" customFormat="1" ht="12.75" hidden="1" outlineLevel="2">
      <c r="A252" s="100"/>
      <c r="B252" s="106"/>
      <c r="C252" s="458" t="s">
        <v>1520</v>
      </c>
      <c r="D252" s="456"/>
      <c r="E252" s="457">
        <f>2.6*(6+3.6)</f>
        <v>24.96</v>
      </c>
      <c r="F252" s="454"/>
      <c r="G252" s="454"/>
      <c r="H252" s="454"/>
      <c r="I252" s="454"/>
      <c r="J252" s="454"/>
      <c r="K252" s="454"/>
      <c r="L252" s="199"/>
      <c r="M252" s="199"/>
      <c r="N252" s="474"/>
    </row>
    <row r="253" spans="1:14" s="189" customFormat="1" ht="12.75" hidden="1" outlineLevel="2">
      <c r="A253" s="100"/>
      <c r="B253" s="106"/>
      <c r="C253" s="458" t="s">
        <v>1521</v>
      </c>
      <c r="D253" s="456"/>
      <c r="E253" s="457">
        <f>2.6*2.575</f>
        <v>6.695</v>
      </c>
      <c r="F253" s="454"/>
      <c r="G253" s="454"/>
      <c r="H253" s="454"/>
      <c r="I253" s="454"/>
      <c r="J253" s="454"/>
      <c r="K253" s="454"/>
      <c r="L253" s="199"/>
      <c r="M253" s="199"/>
      <c r="N253" s="474"/>
    </row>
    <row r="254" spans="1:14" s="189" customFormat="1" ht="12.75" hidden="1" outlineLevel="2">
      <c r="A254" s="100"/>
      <c r="B254" s="106"/>
      <c r="C254" s="458" t="s">
        <v>1522</v>
      </c>
      <c r="D254" s="456"/>
      <c r="E254" s="457">
        <f>2.6*(5.765*2+2.7)-2.2</f>
        <v>34.798</v>
      </c>
      <c r="F254" s="454"/>
      <c r="G254" s="454"/>
      <c r="H254" s="454"/>
      <c r="I254" s="454"/>
      <c r="J254" s="454"/>
      <c r="K254" s="454"/>
      <c r="L254" s="199"/>
      <c r="M254" s="199"/>
      <c r="N254" s="474"/>
    </row>
    <row r="255" spans="1:14" s="189" customFormat="1" ht="12.75" hidden="1" outlineLevel="2">
      <c r="A255" s="100"/>
      <c r="B255" s="106"/>
      <c r="C255" s="458" t="s">
        <v>1523</v>
      </c>
      <c r="D255" s="456"/>
      <c r="E255" s="457">
        <f>2.6*(6+6.125)</f>
        <v>31.525000000000002</v>
      </c>
      <c r="F255" s="454"/>
      <c r="G255" s="454"/>
      <c r="H255" s="454"/>
      <c r="I255" s="454"/>
      <c r="J255" s="454"/>
      <c r="K255" s="454"/>
      <c r="L255" s="199"/>
      <c r="M255" s="199"/>
      <c r="N255" s="474"/>
    </row>
    <row r="256" spans="1:14" s="189" customFormat="1" ht="12.75" hidden="1" outlineLevel="2">
      <c r="A256" s="100"/>
      <c r="B256" s="106"/>
      <c r="C256" s="458" t="s">
        <v>1524</v>
      </c>
      <c r="D256" s="456"/>
      <c r="E256" s="457">
        <f>2.6*(3.5*2)-1.8</f>
        <v>16.4</v>
      </c>
      <c r="F256" s="454"/>
      <c r="G256" s="454"/>
      <c r="H256" s="454"/>
      <c r="I256" s="454"/>
      <c r="J256" s="454"/>
      <c r="K256" s="454"/>
      <c r="L256" s="199"/>
      <c r="M256" s="199"/>
      <c r="N256" s="474"/>
    </row>
    <row r="257" spans="1:14" s="189" customFormat="1" ht="12.75" hidden="1" outlineLevel="2">
      <c r="A257" s="100"/>
      <c r="B257" s="106"/>
      <c r="C257" s="458" t="s">
        <v>1525</v>
      </c>
      <c r="D257" s="456"/>
      <c r="E257" s="457">
        <f>2.6*(3.125+3.35+1.8)-1.8</f>
        <v>19.715</v>
      </c>
      <c r="F257" s="454"/>
      <c r="G257" s="454"/>
      <c r="H257" s="454"/>
      <c r="I257" s="454"/>
      <c r="J257" s="454"/>
      <c r="K257" s="454"/>
      <c r="L257" s="199"/>
      <c r="M257" s="199"/>
      <c r="N257" s="474"/>
    </row>
    <row r="258" spans="1:14" s="189" customFormat="1" ht="12.75" hidden="1" outlineLevel="2">
      <c r="A258" s="100"/>
      <c r="B258" s="106"/>
      <c r="C258" s="458" t="s">
        <v>1526</v>
      </c>
      <c r="D258" s="456"/>
      <c r="E258" s="457">
        <f>2.6*(2*6.35)</f>
        <v>33.019999999999996</v>
      </c>
      <c r="F258" s="454"/>
      <c r="G258" s="454"/>
      <c r="H258" s="454"/>
      <c r="I258" s="454"/>
      <c r="J258" s="454"/>
      <c r="K258" s="454"/>
      <c r="L258" s="199"/>
      <c r="M258" s="199"/>
      <c r="N258" s="474"/>
    </row>
    <row r="259" spans="1:14" s="189" customFormat="1" ht="12.75" hidden="1" outlineLevel="2">
      <c r="A259" s="100"/>
      <c r="B259" s="106"/>
      <c r="C259" s="458" t="s">
        <v>1527</v>
      </c>
      <c r="D259" s="456"/>
      <c r="E259" s="457">
        <f>2.6*(3)-1.8</f>
        <v>6.000000000000001</v>
      </c>
      <c r="F259" s="454"/>
      <c r="G259" s="454"/>
      <c r="H259" s="454"/>
      <c r="I259" s="454"/>
      <c r="J259" s="454"/>
      <c r="K259" s="454"/>
      <c r="L259" s="199"/>
      <c r="M259" s="199"/>
      <c r="N259" s="474"/>
    </row>
    <row r="260" spans="1:14" s="189" customFormat="1" ht="12.75" hidden="1" outlineLevel="2">
      <c r="A260" s="100"/>
      <c r="B260" s="106"/>
      <c r="C260" s="458" t="s">
        <v>1528</v>
      </c>
      <c r="D260" s="456"/>
      <c r="E260" s="457">
        <f>2.6*2*6.595</f>
        <v>34.294</v>
      </c>
      <c r="F260" s="454"/>
      <c r="G260" s="454"/>
      <c r="H260" s="454"/>
      <c r="I260" s="454"/>
      <c r="J260" s="454"/>
      <c r="K260" s="454"/>
      <c r="L260" s="199"/>
      <c r="M260" s="199"/>
      <c r="N260" s="474"/>
    </row>
    <row r="261" spans="1:14" s="189" customFormat="1" ht="12.75" hidden="1" outlineLevel="2">
      <c r="A261" s="100"/>
      <c r="B261" s="106"/>
      <c r="C261" s="458" t="s">
        <v>1529</v>
      </c>
      <c r="D261" s="456"/>
      <c r="E261" s="457">
        <f>2.6*(6)*2</f>
        <v>31.200000000000003</v>
      </c>
      <c r="F261" s="454"/>
      <c r="G261" s="454"/>
      <c r="H261" s="454"/>
      <c r="I261" s="454"/>
      <c r="J261" s="454"/>
      <c r="K261" s="454"/>
      <c r="L261" s="199"/>
      <c r="M261" s="199"/>
      <c r="N261" s="474"/>
    </row>
    <row r="262" spans="1:14" s="189" customFormat="1" ht="12.75" hidden="1" outlineLevel="2">
      <c r="A262" s="100"/>
      <c r="B262" s="106"/>
      <c r="C262" s="458" t="s">
        <v>1530</v>
      </c>
      <c r="D262" s="456"/>
      <c r="E262" s="457">
        <f>2.6*3-1.8</f>
        <v>6.000000000000001</v>
      </c>
      <c r="F262" s="454"/>
      <c r="G262" s="454"/>
      <c r="H262" s="454"/>
      <c r="I262" s="454"/>
      <c r="J262" s="454"/>
      <c r="K262" s="454"/>
      <c r="L262" s="199"/>
      <c r="M262" s="199"/>
      <c r="N262" s="474"/>
    </row>
    <row r="263" spans="1:14" s="189" customFormat="1" ht="12.75" hidden="1" outlineLevel="2">
      <c r="A263" s="100"/>
      <c r="B263" s="106"/>
      <c r="C263" s="458" t="s">
        <v>1531</v>
      </c>
      <c r="D263" s="456"/>
      <c r="E263" s="457">
        <f>2.6*(5.05+3.325)</f>
        <v>21.775000000000002</v>
      </c>
      <c r="F263" s="454"/>
      <c r="G263" s="454"/>
      <c r="H263" s="454"/>
      <c r="I263" s="454"/>
      <c r="J263" s="454"/>
      <c r="K263" s="454"/>
      <c r="L263" s="199"/>
      <c r="M263" s="199"/>
      <c r="N263" s="474"/>
    </row>
    <row r="264" spans="1:14" s="189" customFormat="1" ht="12.75" hidden="1" outlineLevel="2">
      <c r="A264" s="100"/>
      <c r="B264" s="106"/>
      <c r="C264" s="458" t="s">
        <v>1532</v>
      </c>
      <c r="D264" s="456"/>
      <c r="E264" s="457">
        <f>2.6*(5.45+6+2.59)-1.8</f>
        <v>34.704</v>
      </c>
      <c r="F264" s="454"/>
      <c r="G264" s="454"/>
      <c r="H264" s="454"/>
      <c r="I264" s="454"/>
      <c r="J264" s="454"/>
      <c r="K264" s="454"/>
      <c r="L264" s="199"/>
      <c r="M264" s="199"/>
      <c r="N264" s="474"/>
    </row>
    <row r="265" spans="1:14" s="189" customFormat="1" ht="12.75" hidden="1" outlineLevel="2">
      <c r="A265" s="100"/>
      <c r="B265" s="106"/>
      <c r="C265" s="458" t="s">
        <v>1533</v>
      </c>
      <c r="D265" s="456"/>
      <c r="E265" s="457">
        <f>2.6*(5.615+2.6)-1.8</f>
        <v>19.559</v>
      </c>
      <c r="F265" s="454"/>
      <c r="G265" s="454"/>
      <c r="H265" s="454"/>
      <c r="I265" s="454"/>
      <c r="J265" s="454"/>
      <c r="K265" s="454"/>
      <c r="L265" s="199"/>
      <c r="M265" s="199"/>
      <c r="N265" s="474"/>
    </row>
    <row r="266" spans="1:14" s="189" customFormat="1" ht="12.75" hidden="1" outlineLevel="2">
      <c r="A266" s="100"/>
      <c r="B266" s="106"/>
      <c r="C266" s="458" t="s">
        <v>1534</v>
      </c>
      <c r="D266" s="456"/>
      <c r="E266" s="457">
        <f>2.6*(5.605+2.25)-1.8</f>
        <v>18.623</v>
      </c>
      <c r="F266" s="454"/>
      <c r="G266" s="454"/>
      <c r="H266" s="454"/>
      <c r="I266" s="454"/>
      <c r="J266" s="454"/>
      <c r="K266" s="454"/>
      <c r="L266" s="199"/>
      <c r="M266" s="199"/>
      <c r="N266" s="474"/>
    </row>
    <row r="267" spans="1:14" s="189" customFormat="1" ht="12.75" hidden="1" outlineLevel="2">
      <c r="A267" s="100"/>
      <c r="B267" s="106"/>
      <c r="C267" s="458" t="s">
        <v>1535</v>
      </c>
      <c r="D267" s="456"/>
      <c r="E267" s="457">
        <f>2.6*(7.95+2.49)-1.8</f>
        <v>25.344000000000005</v>
      </c>
      <c r="F267" s="454"/>
      <c r="G267" s="454"/>
      <c r="H267" s="454"/>
      <c r="I267" s="454"/>
      <c r="J267" s="454"/>
      <c r="K267" s="454"/>
      <c r="L267" s="199"/>
      <c r="M267" s="199"/>
      <c r="N267" s="474"/>
    </row>
    <row r="268" spans="1:14" s="189" customFormat="1" ht="12.75" hidden="1" outlineLevel="2">
      <c r="A268" s="100"/>
      <c r="B268" s="106"/>
      <c r="C268" s="458" t="s">
        <v>1536</v>
      </c>
      <c r="D268" s="456"/>
      <c r="E268" s="457">
        <f>2.6*(6+5.175+2.625)-1.8</f>
        <v>34.080000000000005</v>
      </c>
      <c r="F268" s="454"/>
      <c r="G268" s="454"/>
      <c r="H268" s="454"/>
      <c r="I268" s="454"/>
      <c r="J268" s="454"/>
      <c r="K268" s="454"/>
      <c r="L268" s="199"/>
      <c r="M268" s="199"/>
      <c r="N268" s="474"/>
    </row>
    <row r="269" spans="1:14" s="189" customFormat="1" ht="12.75" hidden="1" outlineLevel="2">
      <c r="A269" s="100"/>
      <c r="B269" s="106"/>
      <c r="C269" s="458" t="s">
        <v>1537</v>
      </c>
      <c r="D269" s="456"/>
      <c r="E269" s="457">
        <f>2.6*(6.45*2+3.8+2.5+37.295+2.95+30.95)-11*1.8-1.4</f>
        <v>213.82700000000003</v>
      </c>
      <c r="F269" s="454"/>
      <c r="G269" s="454"/>
      <c r="H269" s="454"/>
      <c r="I269" s="454"/>
      <c r="J269" s="454"/>
      <c r="K269" s="454"/>
      <c r="L269" s="199"/>
      <c r="M269" s="199"/>
      <c r="N269" s="474"/>
    </row>
    <row r="270" spans="1:14" s="189" customFormat="1" ht="12.75" outlineLevel="1" collapsed="1">
      <c r="A270" s="84">
        <v>25</v>
      </c>
      <c r="B270" s="85" t="s">
        <v>600</v>
      </c>
      <c r="C270" s="387" t="s">
        <v>601</v>
      </c>
      <c r="D270" s="459" t="s">
        <v>26</v>
      </c>
      <c r="E270" s="460">
        <f>SUM(E272:E469)</f>
        <v>5595.264999999999</v>
      </c>
      <c r="F270" s="461">
        <v>0</v>
      </c>
      <c r="G270" s="462">
        <f>SUM(E270*F270)</f>
        <v>0</v>
      </c>
      <c r="H270" s="87">
        <v>0</v>
      </c>
      <c r="I270" s="87">
        <v>0</v>
      </c>
      <c r="J270" s="463">
        <v>0.03497</v>
      </c>
      <c r="K270" s="464">
        <f>SUM(E270*J270)</f>
        <v>195.66641704999998</v>
      </c>
      <c r="L270" s="195"/>
      <c r="M270" s="196">
        <f>SUM(E270*L270)</f>
        <v>0</v>
      </c>
      <c r="N270" s="474"/>
    </row>
    <row r="271" spans="1:14" s="189" customFormat="1" ht="12.75" hidden="1" outlineLevel="2">
      <c r="A271" s="413"/>
      <c r="B271" s="414"/>
      <c r="C271" s="411" t="s">
        <v>1317</v>
      </c>
      <c r="D271" s="414"/>
      <c r="E271" s="415"/>
      <c r="F271" s="443"/>
      <c r="G271" s="416"/>
      <c r="H271" s="416"/>
      <c r="I271" s="416"/>
      <c r="J271" s="417"/>
      <c r="K271" s="418"/>
      <c r="L271" s="419"/>
      <c r="M271" s="420"/>
      <c r="N271" s="474"/>
    </row>
    <row r="272" spans="1:14" s="189" customFormat="1" ht="12.75" hidden="1" outlineLevel="2">
      <c r="A272" s="100"/>
      <c r="B272" s="106"/>
      <c r="C272" s="102" t="s">
        <v>349</v>
      </c>
      <c r="D272" s="101"/>
      <c r="E272" s="144">
        <f>3.2*2.195*2</f>
        <v>14.048</v>
      </c>
      <c r="F272" s="103"/>
      <c r="G272" s="103"/>
      <c r="H272" s="103"/>
      <c r="I272" s="103"/>
      <c r="J272" s="103"/>
      <c r="K272" s="103"/>
      <c r="L272" s="199"/>
      <c r="M272" s="199"/>
      <c r="N272" s="474"/>
    </row>
    <row r="273" spans="1:14" s="189" customFormat="1" ht="12.75" hidden="1" outlineLevel="2">
      <c r="A273" s="100"/>
      <c r="B273" s="106"/>
      <c r="C273" s="102" t="s">
        <v>1300</v>
      </c>
      <c r="D273" s="101"/>
      <c r="E273" s="144">
        <f>3.2*2.195-1.4*2</f>
        <v>4.224</v>
      </c>
      <c r="F273" s="103"/>
      <c r="G273" s="103"/>
      <c r="H273" s="103"/>
      <c r="I273" s="103"/>
      <c r="J273" s="103"/>
      <c r="K273" s="103"/>
      <c r="L273" s="199"/>
      <c r="M273" s="199"/>
      <c r="N273" s="474"/>
    </row>
    <row r="274" spans="1:14" s="189" customFormat="1" ht="12.75" hidden="1" outlineLevel="2">
      <c r="A274" s="100"/>
      <c r="B274" s="106"/>
      <c r="C274" s="102" t="s">
        <v>1301</v>
      </c>
      <c r="D274" s="101"/>
      <c r="E274" s="144">
        <f>8.8*3.2*2-1.6+3.2*(0.7+0.5+0.7)</f>
        <v>60.800000000000004</v>
      </c>
      <c r="F274" s="103"/>
      <c r="G274" s="103"/>
      <c r="H274" s="103"/>
      <c r="I274" s="103"/>
      <c r="J274" s="103"/>
      <c r="K274" s="103"/>
      <c r="L274" s="199"/>
      <c r="M274" s="199"/>
      <c r="N274" s="474"/>
    </row>
    <row r="275" spans="1:14" s="189" customFormat="1" ht="12.75" hidden="1" outlineLevel="2">
      <c r="A275" s="100"/>
      <c r="B275" s="106"/>
      <c r="C275" s="102" t="s">
        <v>1303</v>
      </c>
      <c r="D275" s="101"/>
      <c r="E275" s="144">
        <f>3.2*1.5</f>
        <v>4.800000000000001</v>
      </c>
      <c r="F275" s="103"/>
      <c r="G275" s="103"/>
      <c r="H275" s="103"/>
      <c r="I275" s="103"/>
      <c r="J275" s="103"/>
      <c r="K275" s="103"/>
      <c r="L275" s="199"/>
      <c r="M275" s="199"/>
      <c r="N275" s="474"/>
    </row>
    <row r="276" spans="1:14" s="189" customFormat="1" ht="12.75" hidden="1" outlineLevel="2">
      <c r="A276" s="100"/>
      <c r="B276" s="106"/>
      <c r="C276" s="102" t="s">
        <v>1302</v>
      </c>
      <c r="D276" s="101"/>
      <c r="E276" s="144">
        <f>3.2*5.85*2</f>
        <v>37.44</v>
      </c>
      <c r="F276" s="103"/>
      <c r="G276" s="103"/>
      <c r="H276" s="103"/>
      <c r="I276" s="103"/>
      <c r="J276" s="103"/>
      <c r="K276" s="103"/>
      <c r="L276" s="199"/>
      <c r="M276" s="199"/>
      <c r="N276" s="474"/>
    </row>
    <row r="277" spans="1:14" s="189" customFormat="1" ht="12.75" hidden="1" outlineLevel="2">
      <c r="A277" s="100"/>
      <c r="B277" s="106"/>
      <c r="C277" s="102" t="s">
        <v>1304</v>
      </c>
      <c r="D277" s="101"/>
      <c r="E277" s="144">
        <f>3.2*(2.42+0.1+2.08)-1.6+3.2*1.5</f>
        <v>17.92</v>
      </c>
      <c r="F277" s="103"/>
      <c r="G277" s="103"/>
      <c r="H277" s="103"/>
      <c r="I277" s="103"/>
      <c r="J277" s="103"/>
      <c r="K277" s="103"/>
      <c r="L277" s="199"/>
      <c r="M277" s="199"/>
      <c r="N277" s="474"/>
    </row>
    <row r="278" spans="1:14" s="189" customFormat="1" ht="12.75" hidden="1" outlineLevel="2">
      <c r="A278" s="100"/>
      <c r="B278" s="106"/>
      <c r="C278" s="102" t="s">
        <v>1305</v>
      </c>
      <c r="D278" s="101"/>
      <c r="E278" s="144">
        <f>3.2*(2.42+0.1+2.08)-1.6+3.2*1.5</f>
        <v>17.92</v>
      </c>
      <c r="F278" s="103"/>
      <c r="G278" s="103"/>
      <c r="H278" s="103"/>
      <c r="I278" s="103"/>
      <c r="J278" s="103"/>
      <c r="K278" s="103"/>
      <c r="L278" s="199"/>
      <c r="M278" s="199"/>
      <c r="N278" s="474"/>
    </row>
    <row r="279" spans="1:14" s="189" customFormat="1" ht="12.75" hidden="1" outlineLevel="2">
      <c r="A279" s="100"/>
      <c r="B279" s="106"/>
      <c r="C279" s="102" t="s">
        <v>1306</v>
      </c>
      <c r="D279" s="101"/>
      <c r="E279" s="144">
        <f>3.2*1.4*2*2-2*1.4</f>
        <v>15.119999999999997</v>
      </c>
      <c r="F279" s="103"/>
      <c r="G279" s="103"/>
      <c r="H279" s="103"/>
      <c r="I279" s="103"/>
      <c r="J279" s="103"/>
      <c r="K279" s="103"/>
      <c r="L279" s="199"/>
      <c r="M279" s="199"/>
      <c r="N279" s="474"/>
    </row>
    <row r="280" spans="1:14" s="189" customFormat="1" ht="12.75" hidden="1" outlineLevel="2">
      <c r="A280" s="100"/>
      <c r="B280" s="106"/>
      <c r="C280" s="102" t="s">
        <v>1307</v>
      </c>
      <c r="D280" s="101"/>
      <c r="E280" s="144">
        <f>3.2*(2.55+2.42)-1.6</f>
        <v>14.304</v>
      </c>
      <c r="F280" s="103"/>
      <c r="G280" s="103"/>
      <c r="H280" s="103"/>
      <c r="I280" s="103"/>
      <c r="J280" s="103"/>
      <c r="K280" s="103"/>
      <c r="L280" s="199"/>
      <c r="M280" s="199"/>
      <c r="N280" s="474"/>
    </row>
    <row r="281" spans="1:14" s="189" customFormat="1" ht="12.75" hidden="1" outlineLevel="2">
      <c r="A281" s="100"/>
      <c r="B281" s="106"/>
      <c r="C281" s="102" t="s">
        <v>1308</v>
      </c>
      <c r="D281" s="101"/>
      <c r="E281" s="144">
        <f>3.2*(4.1*2+9)-2*1.6</f>
        <v>51.839999999999996</v>
      </c>
      <c r="F281" s="103"/>
      <c r="G281" s="103"/>
      <c r="H281" s="103"/>
      <c r="I281" s="103"/>
      <c r="J281" s="103"/>
      <c r="K281" s="103"/>
      <c r="L281" s="199"/>
      <c r="M281" s="199"/>
      <c r="N281" s="474"/>
    </row>
    <row r="282" spans="1:14" s="189" customFormat="1" ht="12.75" hidden="1" outlineLevel="2">
      <c r="A282" s="100"/>
      <c r="B282" s="106"/>
      <c r="C282" s="102" t="s">
        <v>1316</v>
      </c>
      <c r="D282" s="101"/>
      <c r="E282" s="144">
        <f>3.2*18.9*2-2*1.6-2*1.9+3.2*(11.3+2*4.1+1)</f>
        <v>179.56</v>
      </c>
      <c r="F282" s="103"/>
      <c r="G282" s="103"/>
      <c r="H282" s="103"/>
      <c r="I282" s="103"/>
      <c r="J282" s="103"/>
      <c r="K282" s="103"/>
      <c r="L282" s="199"/>
      <c r="M282" s="199"/>
      <c r="N282" s="474"/>
    </row>
    <row r="283" spans="1:14" s="189" customFormat="1" ht="12.75" hidden="1" outlineLevel="2">
      <c r="A283" s="100"/>
      <c r="B283" s="106"/>
      <c r="C283" s="102" t="s">
        <v>1309</v>
      </c>
      <c r="D283" s="101"/>
      <c r="E283" s="144">
        <f>3.2*2*(4.1+8.71)-1.8</f>
        <v>80.18400000000001</v>
      </c>
      <c r="F283" s="103"/>
      <c r="G283" s="103"/>
      <c r="H283" s="103"/>
      <c r="I283" s="103"/>
      <c r="J283" s="103"/>
      <c r="K283" s="103"/>
      <c r="L283" s="199"/>
      <c r="M283" s="199"/>
      <c r="N283" s="474"/>
    </row>
    <row r="284" spans="1:14" s="189" customFormat="1" ht="12.75" hidden="1" outlineLevel="2">
      <c r="A284" s="100"/>
      <c r="B284" s="106"/>
      <c r="C284" s="102" t="s">
        <v>1310</v>
      </c>
      <c r="D284" s="101"/>
      <c r="E284" s="144">
        <f>3.2*(2.51+4.1)*2-1.6</f>
        <v>40.704</v>
      </c>
      <c r="F284" s="103"/>
      <c r="G284" s="103"/>
      <c r="H284" s="103"/>
      <c r="I284" s="103"/>
      <c r="J284" s="103"/>
      <c r="K284" s="103"/>
      <c r="L284" s="199"/>
      <c r="M284" s="199"/>
      <c r="N284" s="474"/>
    </row>
    <row r="285" spans="1:14" s="189" customFormat="1" ht="12.75" hidden="1" outlineLevel="2">
      <c r="A285" s="100"/>
      <c r="B285" s="106"/>
      <c r="C285" s="102" t="s">
        <v>1311</v>
      </c>
      <c r="D285" s="101"/>
      <c r="E285" s="144">
        <f>3.2*2*(3+1.55)-1.4</f>
        <v>27.720000000000002</v>
      </c>
      <c r="F285" s="103"/>
      <c r="G285" s="103"/>
      <c r="H285" s="103"/>
      <c r="I285" s="103"/>
      <c r="J285" s="103"/>
      <c r="K285" s="103"/>
      <c r="L285" s="199"/>
      <c r="M285" s="199"/>
      <c r="N285" s="474"/>
    </row>
    <row r="286" spans="1:14" s="189" customFormat="1" ht="12.75" hidden="1" outlineLevel="2">
      <c r="A286" s="100"/>
      <c r="B286" s="106"/>
      <c r="C286" s="102" t="s">
        <v>1312</v>
      </c>
      <c r="D286" s="101"/>
      <c r="E286" s="144">
        <f>3.2*(2*(1.4*2+0.9*2)-1.4)+2*(1.1+1.35)-3*1.4</f>
        <v>25.66</v>
      </c>
      <c r="F286" s="103"/>
      <c r="G286" s="103"/>
      <c r="H286" s="103"/>
      <c r="I286" s="103"/>
      <c r="J286" s="103"/>
      <c r="K286" s="103"/>
      <c r="L286" s="199"/>
      <c r="M286" s="199"/>
      <c r="N286" s="474"/>
    </row>
    <row r="287" spans="1:14" s="189" customFormat="1" ht="12.75" hidden="1" outlineLevel="2">
      <c r="A287" s="100"/>
      <c r="B287" s="106"/>
      <c r="C287" s="102" t="s">
        <v>1313</v>
      </c>
      <c r="D287" s="101"/>
      <c r="E287" s="144">
        <f>3.2*(2*(1.4*2+0.9*2)-1.4)+2*(1.1+1.35)-3*1.4</f>
        <v>25.66</v>
      </c>
      <c r="F287" s="103"/>
      <c r="G287" s="103"/>
      <c r="H287" s="103"/>
      <c r="I287" s="103"/>
      <c r="J287" s="103"/>
      <c r="K287" s="103"/>
      <c r="L287" s="199"/>
      <c r="M287" s="199"/>
      <c r="N287" s="474"/>
    </row>
    <row r="288" spans="1:14" s="189" customFormat="1" ht="12.75" hidden="1" outlineLevel="2">
      <c r="A288" s="100"/>
      <c r="B288" s="106"/>
      <c r="C288" s="102" t="s">
        <v>1314</v>
      </c>
      <c r="D288" s="101"/>
      <c r="E288" s="144">
        <f>3.2*(3.65*2+8.9)-4*1.4-1.6</f>
        <v>44.64</v>
      </c>
      <c r="F288" s="103"/>
      <c r="G288" s="103"/>
      <c r="H288" s="103"/>
      <c r="I288" s="103"/>
      <c r="J288" s="103"/>
      <c r="K288" s="103"/>
      <c r="L288" s="199"/>
      <c r="M288" s="199"/>
      <c r="N288" s="474"/>
    </row>
    <row r="289" spans="1:14" s="189" customFormat="1" ht="12.75" hidden="1" outlineLevel="2">
      <c r="A289" s="100"/>
      <c r="B289" s="106"/>
      <c r="C289" s="102" t="s">
        <v>1315</v>
      </c>
      <c r="D289" s="101"/>
      <c r="E289" s="144">
        <f>3.2*(2.5+2.6)*2-1.8</f>
        <v>30.84</v>
      </c>
      <c r="F289" s="103"/>
      <c r="G289" s="103"/>
      <c r="H289" s="103"/>
      <c r="I289" s="103"/>
      <c r="J289" s="103"/>
      <c r="K289" s="103"/>
      <c r="L289" s="199"/>
      <c r="M289" s="199"/>
      <c r="N289" s="474"/>
    </row>
    <row r="290" spans="1:14" s="189" customFormat="1" ht="12.75" hidden="1" outlineLevel="2">
      <c r="A290" s="100"/>
      <c r="B290" s="106"/>
      <c r="C290" s="102" t="s">
        <v>1318</v>
      </c>
      <c r="D290" s="101"/>
      <c r="E290" s="144">
        <f>3.2*(2.7+1.025)*2-1.4</f>
        <v>22.440000000000005</v>
      </c>
      <c r="F290" s="103"/>
      <c r="G290" s="103"/>
      <c r="H290" s="103"/>
      <c r="I290" s="103"/>
      <c r="J290" s="103"/>
      <c r="K290" s="103"/>
      <c r="L290" s="199"/>
      <c r="M290" s="199"/>
      <c r="N290" s="474"/>
    </row>
    <row r="291" spans="1:14" s="189" customFormat="1" ht="12.75" hidden="1" outlineLevel="2">
      <c r="A291" s="100"/>
      <c r="B291" s="106"/>
      <c r="C291" s="102" t="s">
        <v>1319</v>
      </c>
      <c r="D291" s="101"/>
      <c r="E291" s="144">
        <f>3.2*(3*(1.4+0.9)*2-1.4)+2*(2.985+1.5)*2-4*1.4</f>
        <v>52.019999999999996</v>
      </c>
      <c r="F291" s="103"/>
      <c r="G291" s="103"/>
      <c r="H291" s="103"/>
      <c r="I291" s="103"/>
      <c r="J291" s="103"/>
      <c r="K291" s="103"/>
      <c r="L291" s="199"/>
      <c r="M291" s="199"/>
      <c r="N291" s="474"/>
    </row>
    <row r="292" spans="1:14" s="189" customFormat="1" ht="12.75" hidden="1" outlineLevel="2">
      <c r="A292" s="100"/>
      <c r="B292" s="106"/>
      <c r="C292" s="102" t="s">
        <v>1320</v>
      </c>
      <c r="D292" s="101"/>
      <c r="E292" s="144">
        <f>3.2*6*2</f>
        <v>38.400000000000006</v>
      </c>
      <c r="F292" s="103"/>
      <c r="G292" s="103"/>
      <c r="H292" s="103"/>
      <c r="I292" s="103"/>
      <c r="J292" s="103"/>
      <c r="K292" s="103"/>
      <c r="L292" s="199"/>
      <c r="M292" s="199"/>
      <c r="N292" s="474"/>
    </row>
    <row r="293" spans="1:14" s="189" customFormat="1" ht="12.75" hidden="1" outlineLevel="2">
      <c r="A293" s="100"/>
      <c r="B293" s="106"/>
      <c r="C293" s="102" t="s">
        <v>1321</v>
      </c>
      <c r="D293" s="101"/>
      <c r="E293" s="144">
        <f>3.2*5.85*2</f>
        <v>37.44</v>
      </c>
      <c r="F293" s="103"/>
      <c r="G293" s="103"/>
      <c r="H293" s="103"/>
      <c r="I293" s="103"/>
      <c r="J293" s="103"/>
      <c r="K293" s="103"/>
      <c r="L293" s="199"/>
      <c r="M293" s="199"/>
      <c r="N293" s="474"/>
    </row>
    <row r="294" spans="1:14" s="189" customFormat="1" ht="12.75" hidden="1" outlineLevel="2">
      <c r="A294" s="100"/>
      <c r="B294" s="106"/>
      <c r="C294" s="102" t="s">
        <v>1542</v>
      </c>
      <c r="D294" s="101"/>
      <c r="E294" s="144">
        <f>3.2*(2.45+2.46)*2-1.8</f>
        <v>29.624000000000002</v>
      </c>
      <c r="F294" s="103"/>
      <c r="G294" s="103"/>
      <c r="H294" s="103"/>
      <c r="I294" s="103"/>
      <c r="J294" s="103"/>
      <c r="K294" s="103"/>
      <c r="L294" s="199"/>
      <c r="M294" s="199"/>
      <c r="N294" s="474"/>
    </row>
    <row r="295" spans="1:14" s="189" customFormat="1" ht="12.75" hidden="1" outlineLevel="2">
      <c r="A295" s="100"/>
      <c r="B295" s="106"/>
      <c r="C295" s="102" t="s">
        <v>1322</v>
      </c>
      <c r="D295" s="101"/>
      <c r="E295" s="144">
        <f>3.2*(2.61+2.55)+5.85+3.3-1.6</f>
        <v>24.062</v>
      </c>
      <c r="F295" s="103"/>
      <c r="G295" s="103"/>
      <c r="H295" s="103"/>
      <c r="I295" s="103"/>
      <c r="J295" s="103"/>
      <c r="K295" s="103"/>
      <c r="L295" s="199"/>
      <c r="M295" s="199"/>
      <c r="N295" s="474"/>
    </row>
    <row r="296" spans="1:14" s="189" customFormat="1" ht="12.75" hidden="1" outlineLevel="2">
      <c r="A296" s="100"/>
      <c r="B296" s="106"/>
      <c r="C296" s="102" t="s">
        <v>1323</v>
      </c>
      <c r="D296" s="101"/>
      <c r="E296" s="144">
        <f>3.2*(3.1+5.25+3.1+5.25)-1.8</f>
        <v>51.64</v>
      </c>
      <c r="F296" s="103"/>
      <c r="G296" s="103"/>
      <c r="H296" s="103"/>
      <c r="I296" s="103"/>
      <c r="J296" s="103"/>
      <c r="K296" s="103"/>
      <c r="L296" s="199"/>
      <c r="M296" s="199"/>
      <c r="N296" s="474"/>
    </row>
    <row r="297" spans="1:14" s="189" customFormat="1" ht="12.75" hidden="1" outlineLevel="2">
      <c r="A297" s="100"/>
      <c r="B297" s="106"/>
      <c r="C297" s="102" t="s">
        <v>1326</v>
      </c>
      <c r="D297" s="101"/>
      <c r="E297" s="144">
        <f>3.2*(5.25+2.6)*2-2*1.8</f>
        <v>46.64</v>
      </c>
      <c r="F297" s="103"/>
      <c r="G297" s="103"/>
      <c r="H297" s="103"/>
      <c r="I297" s="103"/>
      <c r="J297" s="103"/>
      <c r="K297" s="103"/>
      <c r="L297" s="199"/>
      <c r="M297" s="199"/>
      <c r="N297" s="474"/>
    </row>
    <row r="298" spans="1:14" s="189" customFormat="1" ht="12.75" hidden="1" outlineLevel="2">
      <c r="A298" s="100"/>
      <c r="B298" s="106"/>
      <c r="C298" s="102" t="s">
        <v>1324</v>
      </c>
      <c r="D298" s="101"/>
      <c r="E298" s="144">
        <f>3.2*2*(5.34+3.1)-1.8</f>
        <v>52.216</v>
      </c>
      <c r="F298" s="103"/>
      <c r="G298" s="103"/>
      <c r="H298" s="103"/>
      <c r="I298" s="103"/>
      <c r="J298" s="103"/>
      <c r="K298" s="103"/>
      <c r="L298" s="199"/>
      <c r="M298" s="199"/>
      <c r="N298" s="474"/>
    </row>
    <row r="299" spans="1:14" s="189" customFormat="1" ht="12.75" hidden="1" outlineLevel="2">
      <c r="A299" s="100"/>
      <c r="B299" s="106"/>
      <c r="C299" s="102" t="s">
        <v>1325</v>
      </c>
      <c r="D299" s="101"/>
      <c r="E299" s="144">
        <f>3.2*2*(3.565+2.6)-2*1.6</f>
        <v>36.256</v>
      </c>
      <c r="F299" s="103"/>
      <c r="G299" s="103"/>
      <c r="H299" s="103"/>
      <c r="I299" s="103"/>
      <c r="J299" s="103"/>
      <c r="K299" s="103"/>
      <c r="L299" s="199"/>
      <c r="M299" s="199"/>
      <c r="N299" s="474"/>
    </row>
    <row r="300" spans="1:14" s="189" customFormat="1" ht="12.75" hidden="1" outlineLevel="2">
      <c r="A300" s="100"/>
      <c r="B300" s="106"/>
      <c r="C300" s="102" t="s">
        <v>1327</v>
      </c>
      <c r="D300" s="101"/>
      <c r="E300" s="144">
        <f>3.2*2*(3.1+4.985)-1.6</f>
        <v>50.144000000000005</v>
      </c>
      <c r="F300" s="103"/>
      <c r="G300" s="103"/>
      <c r="H300" s="103"/>
      <c r="I300" s="103"/>
      <c r="J300" s="103"/>
      <c r="K300" s="103"/>
      <c r="L300" s="199"/>
      <c r="M300" s="199"/>
      <c r="N300" s="474"/>
    </row>
    <row r="301" spans="1:14" s="189" customFormat="1" ht="12.75" hidden="1" outlineLevel="2">
      <c r="A301" s="100"/>
      <c r="B301" s="106"/>
      <c r="C301" s="102" t="s">
        <v>1335</v>
      </c>
      <c r="D301" s="101"/>
      <c r="E301" s="144">
        <f>3.2*(0.9+1.6)*2-1.4</f>
        <v>14.6</v>
      </c>
      <c r="F301" s="103"/>
      <c r="G301" s="103"/>
      <c r="H301" s="103"/>
      <c r="I301" s="103"/>
      <c r="J301" s="103"/>
      <c r="K301" s="103"/>
      <c r="L301" s="199"/>
      <c r="M301" s="199"/>
      <c r="N301" s="474"/>
    </row>
    <row r="302" spans="1:14" s="189" customFormat="1" ht="12.75" hidden="1" outlineLevel="2">
      <c r="A302" s="100"/>
      <c r="B302" s="106"/>
      <c r="C302" s="181" t="s">
        <v>1336</v>
      </c>
      <c r="E302" s="144">
        <f>3.2*(5.85+2.85+1.7)</f>
        <v>33.279999999999994</v>
      </c>
      <c r="F302" s="103"/>
      <c r="G302" s="103"/>
      <c r="H302" s="103"/>
      <c r="I302" s="103"/>
      <c r="J302" s="103"/>
      <c r="K302" s="103"/>
      <c r="L302" s="199"/>
      <c r="M302" s="199"/>
      <c r="N302" s="474"/>
    </row>
    <row r="303" spans="1:14" s="189" customFormat="1" ht="12.75" hidden="1" outlineLevel="2">
      <c r="A303" s="100"/>
      <c r="B303" s="106"/>
      <c r="C303" s="181" t="s">
        <v>1337</v>
      </c>
      <c r="E303" s="144">
        <f>3.2*4.1*2</f>
        <v>26.24</v>
      </c>
      <c r="F303" s="103"/>
      <c r="G303" s="103"/>
      <c r="H303" s="103"/>
      <c r="I303" s="103"/>
      <c r="J303" s="103"/>
      <c r="K303" s="103"/>
      <c r="L303" s="199"/>
      <c r="M303" s="199"/>
      <c r="N303" s="474"/>
    </row>
    <row r="304" spans="1:14" s="189" customFormat="1" ht="12.75" hidden="1" outlineLevel="2">
      <c r="A304" s="100"/>
      <c r="B304" s="106"/>
      <c r="C304" s="181" t="s">
        <v>1333</v>
      </c>
      <c r="E304" s="144">
        <f>3.2*4.1*2</f>
        <v>26.24</v>
      </c>
      <c r="F304" s="103"/>
      <c r="G304" s="103"/>
      <c r="H304" s="103"/>
      <c r="I304" s="103"/>
      <c r="J304" s="103"/>
      <c r="K304" s="103"/>
      <c r="L304" s="199"/>
      <c r="M304" s="199"/>
      <c r="N304" s="474"/>
    </row>
    <row r="305" spans="1:14" s="189" customFormat="1" ht="12.75" hidden="1" outlineLevel="2">
      <c r="A305" s="100"/>
      <c r="B305" s="106"/>
      <c r="C305" s="181" t="s">
        <v>1334</v>
      </c>
      <c r="E305" s="144">
        <f>3.2*4.1*2</f>
        <v>26.24</v>
      </c>
      <c r="F305" s="103"/>
      <c r="G305" s="103"/>
      <c r="H305" s="103"/>
      <c r="I305" s="103"/>
      <c r="J305" s="103"/>
      <c r="K305" s="103"/>
      <c r="L305" s="199"/>
      <c r="M305" s="199"/>
      <c r="N305" s="474"/>
    </row>
    <row r="306" spans="1:14" s="189" customFormat="1" ht="12.75" hidden="1" outlineLevel="2">
      <c r="A306" s="100"/>
      <c r="B306" s="106"/>
      <c r="C306" s="102" t="s">
        <v>1332</v>
      </c>
      <c r="D306" s="101"/>
      <c r="E306" s="144">
        <f>3.2*(4.1*2)</f>
        <v>26.24</v>
      </c>
      <c r="F306" s="103"/>
      <c r="G306" s="103"/>
      <c r="H306" s="103"/>
      <c r="I306" s="103"/>
      <c r="J306" s="103"/>
      <c r="K306" s="103"/>
      <c r="L306" s="199"/>
      <c r="M306" s="199"/>
      <c r="N306" s="474"/>
    </row>
    <row r="307" spans="1:14" s="189" customFormat="1" ht="12.75" hidden="1" outlineLevel="2">
      <c r="A307" s="100"/>
      <c r="B307" s="106"/>
      <c r="C307" s="102" t="s">
        <v>1330</v>
      </c>
      <c r="D307" s="101"/>
      <c r="E307" s="144">
        <f>3.2*2*(2.1+1.01)-2*1.6+2*2*(1.5+2.1)-1.6-2*1.4+2*2*(1.4+1)-2*1.4</f>
        <v>33.504000000000005</v>
      </c>
      <c r="F307" s="103"/>
      <c r="G307" s="103"/>
      <c r="H307" s="103"/>
      <c r="I307" s="103"/>
      <c r="J307" s="103"/>
      <c r="K307" s="103"/>
      <c r="L307" s="199"/>
      <c r="M307" s="199"/>
      <c r="N307" s="474"/>
    </row>
    <row r="308" spans="1:14" s="189" customFormat="1" ht="12.75" hidden="1" outlineLevel="2">
      <c r="A308" s="100"/>
      <c r="B308" s="106"/>
      <c r="C308" s="102" t="s">
        <v>1329</v>
      </c>
      <c r="D308" s="101"/>
      <c r="E308" s="144">
        <f>3.2*2*(2.825+1)-1.6</f>
        <v>22.880000000000003</v>
      </c>
      <c r="F308" s="103"/>
      <c r="G308" s="103"/>
      <c r="H308" s="103"/>
      <c r="I308" s="103"/>
      <c r="J308" s="103"/>
      <c r="K308" s="103"/>
      <c r="L308" s="199"/>
      <c r="M308" s="199"/>
      <c r="N308" s="474"/>
    </row>
    <row r="309" spans="1:14" s="189" customFormat="1" ht="12.75" hidden="1" outlineLevel="2">
      <c r="A309" s="100"/>
      <c r="B309" s="106"/>
      <c r="C309" s="102" t="s">
        <v>1338</v>
      </c>
      <c r="D309" s="101"/>
      <c r="E309" s="144">
        <f>3.2*2*(1.6+2.1)-2*1.6+3.2*2*(2.825+1.5)-1.6-1.4+3.2*2*(1+1.4)-2*1.4</f>
        <v>57.72000000000001</v>
      </c>
      <c r="F309" s="103"/>
      <c r="G309" s="103"/>
      <c r="H309" s="103"/>
      <c r="I309" s="103"/>
      <c r="J309" s="103"/>
      <c r="K309" s="103"/>
      <c r="L309" s="199"/>
      <c r="M309" s="199"/>
      <c r="N309" s="474"/>
    </row>
    <row r="310" spans="1:14" s="189" customFormat="1" ht="12.75" hidden="1" outlineLevel="2">
      <c r="A310" s="100"/>
      <c r="B310" s="106"/>
      <c r="C310" s="102" t="s">
        <v>1331</v>
      </c>
      <c r="D310" s="101"/>
      <c r="E310" s="144">
        <f>3.2*2*(1.945+2.345)-1.8</f>
        <v>25.656000000000002</v>
      </c>
      <c r="F310" s="103"/>
      <c r="G310" s="103"/>
      <c r="H310" s="103"/>
      <c r="I310" s="103"/>
      <c r="J310" s="103"/>
      <c r="K310" s="103"/>
      <c r="L310" s="199"/>
      <c r="M310" s="199"/>
      <c r="N310" s="474"/>
    </row>
    <row r="311" spans="1:14" s="189" customFormat="1" ht="12.75" hidden="1" outlineLevel="2">
      <c r="A311" s="100"/>
      <c r="B311" s="106"/>
      <c r="C311" s="181" t="s">
        <v>1328</v>
      </c>
      <c r="E311" s="144">
        <f>3.2*2*(6.76+2.6)-1.6-2*1.8</f>
        <v>54.70399999999999</v>
      </c>
      <c r="F311" s="103"/>
      <c r="G311" s="103"/>
      <c r="H311" s="103"/>
      <c r="I311" s="103"/>
      <c r="J311" s="103"/>
      <c r="K311" s="103"/>
      <c r="L311" s="199"/>
      <c r="M311" s="199"/>
      <c r="N311" s="474"/>
    </row>
    <row r="312" spans="1:14" s="189" customFormat="1" ht="12.75" hidden="1" outlineLevel="2">
      <c r="A312" s="100"/>
      <c r="B312" s="106"/>
      <c r="C312" s="102" t="s">
        <v>1269</v>
      </c>
      <c r="D312" s="101"/>
      <c r="E312" s="144">
        <f>2*2*(1.5+1.7)-1.2</f>
        <v>11.600000000000001</v>
      </c>
      <c r="F312" s="103"/>
      <c r="G312" s="103"/>
      <c r="H312" s="103"/>
      <c r="I312" s="103"/>
      <c r="J312" s="103"/>
      <c r="K312" s="103"/>
      <c r="L312" s="199"/>
      <c r="M312" s="199"/>
      <c r="N312" s="474"/>
    </row>
    <row r="313" spans="1:14" s="189" customFormat="1" ht="12.75" hidden="1" outlineLevel="2">
      <c r="A313" s="100"/>
      <c r="B313" s="106"/>
      <c r="C313" s="411" t="s">
        <v>1104</v>
      </c>
      <c r="D313" s="101"/>
      <c r="E313" s="144"/>
      <c r="F313" s="103"/>
      <c r="G313" s="103"/>
      <c r="H313" s="103"/>
      <c r="I313" s="103"/>
      <c r="J313" s="103"/>
      <c r="K313" s="103"/>
      <c r="L313" s="199"/>
      <c r="M313" s="199"/>
      <c r="N313" s="474"/>
    </row>
    <row r="314" spans="1:14" s="189" customFormat="1" ht="12.75" hidden="1" outlineLevel="2">
      <c r="A314" s="100"/>
      <c r="B314" s="106"/>
      <c r="C314" s="102" t="s">
        <v>1384</v>
      </c>
      <c r="D314" s="101"/>
      <c r="E314" s="144">
        <f>3.2*(3.4)-1.8</f>
        <v>9.08</v>
      </c>
      <c r="F314" s="103"/>
      <c r="G314" s="103"/>
      <c r="H314" s="103"/>
      <c r="I314" s="103"/>
      <c r="J314" s="103"/>
      <c r="K314" s="103"/>
      <c r="L314" s="199"/>
      <c r="M314" s="199"/>
      <c r="N314" s="474"/>
    </row>
    <row r="315" spans="1:14" s="189" customFormat="1" ht="12.75" hidden="1" outlineLevel="2">
      <c r="A315" s="100"/>
      <c r="B315" s="106"/>
      <c r="C315" s="102" t="s">
        <v>1385</v>
      </c>
      <c r="D315" s="101"/>
      <c r="E315" s="144">
        <f>3.2*(2+2.9+2)-1.6</f>
        <v>20.48</v>
      </c>
      <c r="F315" s="103"/>
      <c r="G315" s="103"/>
      <c r="H315" s="103"/>
      <c r="I315" s="103"/>
      <c r="J315" s="103"/>
      <c r="K315" s="103"/>
      <c r="L315" s="199"/>
      <c r="M315" s="199"/>
      <c r="N315" s="474"/>
    </row>
    <row r="316" spans="1:14" s="189" customFormat="1" ht="12.75" hidden="1" outlineLevel="2">
      <c r="A316" s="100"/>
      <c r="B316" s="106"/>
      <c r="C316" s="102" t="s">
        <v>1386</v>
      </c>
      <c r="D316" s="101"/>
      <c r="E316" s="144">
        <f>3.2*(2*1.3+2.9)-2*1.8-1.6</f>
        <v>12.400000000000002</v>
      </c>
      <c r="F316" s="103"/>
      <c r="G316" s="103"/>
      <c r="H316" s="103"/>
      <c r="I316" s="103"/>
      <c r="J316" s="103"/>
      <c r="K316" s="103"/>
      <c r="L316" s="199"/>
      <c r="M316" s="199"/>
      <c r="N316" s="474"/>
    </row>
    <row r="317" spans="1:14" s="189" customFormat="1" ht="12.75" hidden="1" outlineLevel="2">
      <c r="A317" s="100"/>
      <c r="B317" s="106"/>
      <c r="C317" s="102" t="s">
        <v>1387</v>
      </c>
      <c r="D317" s="101"/>
      <c r="E317" s="144">
        <f>3.2*3.9-1.8</f>
        <v>10.68</v>
      </c>
      <c r="F317" s="103"/>
      <c r="G317" s="103"/>
      <c r="H317" s="103"/>
      <c r="I317" s="103"/>
      <c r="J317" s="103"/>
      <c r="K317" s="103"/>
      <c r="L317" s="199"/>
      <c r="M317" s="199"/>
      <c r="N317" s="474"/>
    </row>
    <row r="318" spans="1:14" s="189" customFormat="1" ht="12.75" hidden="1" outlineLevel="2">
      <c r="A318" s="100"/>
      <c r="B318" s="106"/>
      <c r="C318" s="102" t="s">
        <v>1388</v>
      </c>
      <c r="D318" s="101"/>
      <c r="E318" s="144">
        <f>3.2*(3.4)-1.8</f>
        <v>9.08</v>
      </c>
      <c r="F318" s="103"/>
      <c r="G318" s="103"/>
      <c r="H318" s="103"/>
      <c r="I318" s="103"/>
      <c r="J318" s="103"/>
      <c r="K318" s="103"/>
      <c r="L318" s="199"/>
      <c r="M318" s="199"/>
      <c r="N318" s="474"/>
    </row>
    <row r="319" spans="1:14" s="189" customFormat="1" ht="12.75" hidden="1" outlineLevel="2">
      <c r="A319" s="100"/>
      <c r="B319" s="106"/>
      <c r="C319" s="102" t="s">
        <v>1389</v>
      </c>
      <c r="D319" s="101"/>
      <c r="E319" s="144">
        <f>3.2*(2+3.8+2)-1.6</f>
        <v>23.36</v>
      </c>
      <c r="F319" s="103"/>
      <c r="G319" s="103"/>
      <c r="H319" s="103"/>
      <c r="I319" s="103"/>
      <c r="J319" s="103"/>
      <c r="K319" s="103"/>
      <c r="L319" s="199"/>
      <c r="M319" s="199"/>
      <c r="N319" s="474"/>
    </row>
    <row r="320" spans="1:14" s="189" customFormat="1" ht="12.75" hidden="1" outlineLevel="2">
      <c r="A320" s="100"/>
      <c r="B320" s="106"/>
      <c r="C320" s="102" t="s">
        <v>1433</v>
      </c>
      <c r="D320" s="101"/>
      <c r="E320" s="144">
        <f>3.2*(1.3*2+3.8)-2*1.8*1.6</f>
        <v>14.720000000000002</v>
      </c>
      <c r="F320" s="103"/>
      <c r="G320" s="103"/>
      <c r="H320" s="103"/>
      <c r="I320" s="103"/>
      <c r="J320" s="103"/>
      <c r="K320" s="103"/>
      <c r="L320" s="199"/>
      <c r="M320" s="199"/>
      <c r="N320" s="474"/>
    </row>
    <row r="321" spans="1:14" s="189" customFormat="1" ht="12.75" hidden="1" outlineLevel="2">
      <c r="A321" s="100"/>
      <c r="B321" s="106"/>
      <c r="C321" s="102" t="s">
        <v>1390</v>
      </c>
      <c r="D321" s="101"/>
      <c r="E321" s="144">
        <f>3.2*3.4-1.8</f>
        <v>9.08</v>
      </c>
      <c r="F321" s="103"/>
      <c r="G321" s="103"/>
      <c r="H321" s="103"/>
      <c r="I321" s="103"/>
      <c r="J321" s="103"/>
      <c r="K321" s="103"/>
      <c r="L321" s="199"/>
      <c r="M321" s="199"/>
      <c r="N321" s="474"/>
    </row>
    <row r="322" spans="1:14" s="189" customFormat="1" ht="12.75" hidden="1" outlineLevel="2">
      <c r="A322" s="100"/>
      <c r="B322" s="106"/>
      <c r="C322" s="102" t="s">
        <v>1432</v>
      </c>
      <c r="D322" s="101"/>
      <c r="E322" s="144">
        <f>3.2*(2.4+2.4)-1.6</f>
        <v>13.76</v>
      </c>
      <c r="F322" s="103"/>
      <c r="G322" s="103"/>
      <c r="H322" s="103"/>
      <c r="I322" s="103"/>
      <c r="J322" s="103"/>
      <c r="K322" s="103"/>
      <c r="L322" s="199"/>
      <c r="M322" s="199"/>
      <c r="N322" s="474"/>
    </row>
    <row r="323" spans="1:14" s="189" customFormat="1" ht="12.75" hidden="1" outlineLevel="2">
      <c r="A323" s="100"/>
      <c r="B323" s="106"/>
      <c r="C323" s="102" t="s">
        <v>1431</v>
      </c>
      <c r="D323" s="101"/>
      <c r="E323" s="144">
        <f>3.2*(2.5+2.3+2.3)-1.6</f>
        <v>21.119999999999997</v>
      </c>
      <c r="F323" s="103"/>
      <c r="G323" s="103"/>
      <c r="H323" s="103"/>
      <c r="I323" s="103"/>
      <c r="J323" s="103"/>
      <c r="K323" s="103"/>
      <c r="L323" s="199"/>
      <c r="M323" s="199"/>
      <c r="N323" s="474"/>
    </row>
    <row r="324" spans="1:14" s="189" customFormat="1" ht="12.75" hidden="1" outlineLevel="2">
      <c r="A324" s="100"/>
      <c r="B324" s="106"/>
      <c r="C324" s="102" t="s">
        <v>1430</v>
      </c>
      <c r="D324" s="101"/>
      <c r="E324" s="144">
        <f>3.2*(2*3+2.2)-1.6</f>
        <v>24.639999999999997</v>
      </c>
      <c r="F324" s="103"/>
      <c r="G324" s="103"/>
      <c r="H324" s="103"/>
      <c r="I324" s="103"/>
      <c r="J324" s="103"/>
      <c r="K324" s="103"/>
      <c r="L324" s="199"/>
      <c r="M324" s="199"/>
      <c r="N324" s="474"/>
    </row>
    <row r="325" spans="1:14" s="189" customFormat="1" ht="12.75" hidden="1" outlineLevel="2">
      <c r="A325" s="100"/>
      <c r="B325" s="106"/>
      <c r="C325" s="102" t="s">
        <v>1391</v>
      </c>
      <c r="D325" s="101"/>
      <c r="E325" s="144">
        <f>3.2*(3.1+2.3)-1.6</f>
        <v>15.680000000000001</v>
      </c>
      <c r="F325" s="103"/>
      <c r="G325" s="103"/>
      <c r="H325" s="103"/>
      <c r="I325" s="103"/>
      <c r="J325" s="103"/>
      <c r="K325" s="103"/>
      <c r="L325" s="199"/>
      <c r="M325" s="199"/>
      <c r="N325" s="474"/>
    </row>
    <row r="326" spans="1:14" s="189" customFormat="1" ht="12.75" hidden="1" outlineLevel="2">
      <c r="A326" s="100"/>
      <c r="B326" s="106"/>
      <c r="C326" s="102" t="s">
        <v>1429</v>
      </c>
      <c r="D326" s="101"/>
      <c r="E326" s="144">
        <f>3.2*(2.3+2.92)-1.6</f>
        <v>15.104000000000001</v>
      </c>
      <c r="F326" s="103"/>
      <c r="G326" s="103"/>
      <c r="H326" s="103"/>
      <c r="I326" s="103"/>
      <c r="J326" s="103"/>
      <c r="K326" s="103"/>
      <c r="L326" s="199"/>
      <c r="M326" s="199"/>
      <c r="N326" s="474"/>
    </row>
    <row r="327" spans="1:14" s="189" customFormat="1" ht="12.75" hidden="1" outlineLevel="2">
      <c r="A327" s="100"/>
      <c r="B327" s="106"/>
      <c r="C327" s="102" t="s">
        <v>1428</v>
      </c>
      <c r="D327" s="101"/>
      <c r="E327" s="144">
        <f>3.2*(2.3*2+2.9)-1.6</f>
        <v>22.4</v>
      </c>
      <c r="F327" s="103"/>
      <c r="G327" s="103"/>
      <c r="H327" s="103"/>
      <c r="I327" s="103"/>
      <c r="J327" s="103"/>
      <c r="K327" s="103"/>
      <c r="L327" s="199"/>
      <c r="M327" s="199"/>
      <c r="N327" s="474"/>
    </row>
    <row r="328" spans="1:14" s="189" customFormat="1" ht="12.75" hidden="1" outlineLevel="2">
      <c r="A328" s="100"/>
      <c r="B328" s="106"/>
      <c r="C328" s="102" t="s">
        <v>1427</v>
      </c>
      <c r="D328" s="101"/>
      <c r="E328" s="144">
        <f>3.2*(2.3*2+3.1)-1.6</f>
        <v>23.04</v>
      </c>
      <c r="F328" s="103"/>
      <c r="G328" s="103"/>
      <c r="H328" s="103"/>
      <c r="I328" s="103"/>
      <c r="J328" s="103"/>
      <c r="K328" s="103"/>
      <c r="L328" s="199"/>
      <c r="M328" s="199"/>
      <c r="N328" s="474"/>
    </row>
    <row r="329" spans="1:14" s="189" customFormat="1" ht="12.75" hidden="1" outlineLevel="2">
      <c r="A329" s="100"/>
      <c r="B329" s="106"/>
      <c r="C329" s="102" t="s">
        <v>1426</v>
      </c>
      <c r="D329" s="101"/>
      <c r="E329" s="144">
        <f>3.2*(3.1+2.3)-1.6</f>
        <v>15.680000000000001</v>
      </c>
      <c r="F329" s="103"/>
      <c r="G329" s="103"/>
      <c r="H329" s="103"/>
      <c r="I329" s="103"/>
      <c r="J329" s="103"/>
      <c r="K329" s="103"/>
      <c r="L329" s="199"/>
      <c r="M329" s="199"/>
      <c r="N329" s="474"/>
    </row>
    <row r="330" spans="1:14" s="189" customFormat="1" ht="12.75" hidden="1" outlineLevel="2">
      <c r="A330" s="100"/>
      <c r="B330" s="106"/>
      <c r="C330" s="102" t="s">
        <v>1392</v>
      </c>
      <c r="D330" s="101"/>
      <c r="E330" s="144">
        <f>2*3.2*(2.2*2+2.9)-1.6*2</f>
        <v>43.52</v>
      </c>
      <c r="F330" s="103"/>
      <c r="G330" s="103"/>
      <c r="H330" s="103"/>
      <c r="I330" s="103"/>
      <c r="J330" s="103"/>
      <c r="K330" s="103"/>
      <c r="L330" s="199"/>
      <c r="M330" s="199"/>
      <c r="N330" s="474"/>
    </row>
    <row r="331" spans="1:14" s="189" customFormat="1" ht="12.75" hidden="1" outlineLevel="2">
      <c r="A331" s="100"/>
      <c r="B331" s="106"/>
      <c r="C331" s="102" t="s">
        <v>1423</v>
      </c>
      <c r="D331" s="101"/>
      <c r="E331" s="144">
        <f>3.2*(3+2.3)-1.6</f>
        <v>15.360000000000001</v>
      </c>
      <c r="F331" s="103"/>
      <c r="G331" s="103"/>
      <c r="H331" s="103"/>
      <c r="I331" s="103"/>
      <c r="J331" s="103"/>
      <c r="K331" s="103"/>
      <c r="L331" s="199"/>
      <c r="M331" s="199"/>
      <c r="N331" s="474"/>
    </row>
    <row r="332" spans="1:14" s="189" customFormat="1" ht="12.75" hidden="1" outlineLevel="2">
      <c r="A332" s="100"/>
      <c r="B332" s="106"/>
      <c r="C332" s="102" t="s">
        <v>1424</v>
      </c>
      <c r="D332" s="101"/>
      <c r="E332" s="144">
        <f>3.2*(2.3+3)+6*3.2-1.6</f>
        <v>34.56</v>
      </c>
      <c r="F332" s="103"/>
      <c r="G332" s="103"/>
      <c r="H332" s="103"/>
      <c r="I332" s="103"/>
      <c r="J332" s="103"/>
      <c r="K332" s="103"/>
      <c r="L332" s="199"/>
      <c r="M332" s="199"/>
      <c r="N332" s="474"/>
    </row>
    <row r="333" spans="1:14" s="189" customFormat="1" ht="12.75" hidden="1" outlineLevel="2">
      <c r="A333" s="100"/>
      <c r="B333" s="106"/>
      <c r="C333" s="102" t="s">
        <v>1425</v>
      </c>
      <c r="D333" s="101"/>
      <c r="E333" s="144">
        <f>3.2*(1.5+1.65+1.75+6+2.7+0.6+0.6+4.1)-1.6-1.8*3</f>
        <v>53.48</v>
      </c>
      <c r="F333" s="103"/>
      <c r="G333" s="103"/>
      <c r="H333" s="103"/>
      <c r="I333" s="103"/>
      <c r="J333" s="103"/>
      <c r="K333" s="103"/>
      <c r="L333" s="199"/>
      <c r="M333" s="199"/>
      <c r="N333" s="474"/>
    </row>
    <row r="334" spans="1:14" s="189" customFormat="1" ht="12.75" hidden="1" outlineLevel="2">
      <c r="A334" s="100"/>
      <c r="B334" s="106"/>
      <c r="C334" s="102" t="s">
        <v>1393</v>
      </c>
      <c r="D334" s="101"/>
      <c r="E334" s="144">
        <f>3.2*(6+3)-3</f>
        <v>25.8</v>
      </c>
      <c r="F334" s="103"/>
      <c r="G334" s="103"/>
      <c r="H334" s="103"/>
      <c r="I334" s="103"/>
      <c r="J334" s="103"/>
      <c r="K334" s="103"/>
      <c r="L334" s="199"/>
      <c r="M334" s="199"/>
      <c r="N334" s="474"/>
    </row>
    <row r="335" spans="1:14" s="189" customFormat="1" ht="12.75" hidden="1" outlineLevel="2">
      <c r="A335" s="100"/>
      <c r="B335" s="106"/>
      <c r="C335" s="102" t="s">
        <v>1394</v>
      </c>
      <c r="D335" s="101"/>
      <c r="E335" s="144">
        <f>3.2*(3.05)-1.6</f>
        <v>8.16</v>
      </c>
      <c r="F335" s="103"/>
      <c r="G335" s="103"/>
      <c r="H335" s="103"/>
      <c r="I335" s="103"/>
      <c r="J335" s="103"/>
      <c r="K335" s="103"/>
      <c r="L335" s="199"/>
      <c r="M335" s="199"/>
      <c r="N335" s="474"/>
    </row>
    <row r="336" spans="1:14" s="189" customFormat="1" ht="12.75" hidden="1" outlineLevel="2">
      <c r="A336" s="100"/>
      <c r="B336" s="106"/>
      <c r="C336" s="102" t="s">
        <v>1395</v>
      </c>
      <c r="D336" s="101"/>
      <c r="E336" s="144">
        <f>3.2*2*(3.05+2.75)-4*1.6</f>
        <v>30.72</v>
      </c>
      <c r="F336" s="103"/>
      <c r="G336" s="103"/>
      <c r="H336" s="103"/>
      <c r="I336" s="103"/>
      <c r="J336" s="103"/>
      <c r="K336" s="103"/>
      <c r="L336" s="199"/>
      <c r="M336" s="199"/>
      <c r="N336" s="474"/>
    </row>
    <row r="337" spans="1:14" s="189" customFormat="1" ht="12.75" hidden="1" outlineLevel="2">
      <c r="A337" s="100"/>
      <c r="B337" s="106"/>
      <c r="C337" s="102" t="s">
        <v>1396</v>
      </c>
      <c r="D337" s="101"/>
      <c r="E337" s="144">
        <f>3.2*(2.895+5.7)-1.6</f>
        <v>25.904000000000003</v>
      </c>
      <c r="F337" s="103"/>
      <c r="G337" s="103"/>
      <c r="H337" s="103"/>
      <c r="I337" s="103"/>
      <c r="J337" s="103"/>
      <c r="K337" s="103"/>
      <c r="L337" s="199"/>
      <c r="M337" s="199"/>
      <c r="N337" s="474"/>
    </row>
    <row r="338" spans="1:14" s="189" customFormat="1" ht="12.75" hidden="1" outlineLevel="2">
      <c r="A338" s="100"/>
      <c r="B338" s="106"/>
      <c r="C338" s="102" t="s">
        <v>1397</v>
      </c>
      <c r="D338" s="101"/>
      <c r="E338" s="144">
        <f>3.2*(3.35+2.89)-1.6</f>
        <v>18.368000000000002</v>
      </c>
      <c r="F338" s="103"/>
      <c r="G338" s="103"/>
      <c r="H338" s="103"/>
      <c r="I338" s="103"/>
      <c r="J338" s="103"/>
      <c r="K338" s="103"/>
      <c r="L338" s="199"/>
      <c r="M338" s="199"/>
      <c r="N338" s="474"/>
    </row>
    <row r="339" spans="1:14" s="189" customFormat="1" ht="12.75" hidden="1" outlineLevel="2">
      <c r="A339" s="100"/>
      <c r="B339" s="106"/>
      <c r="C339" s="102" t="s">
        <v>1648</v>
      </c>
      <c r="D339" s="101"/>
      <c r="E339" s="144">
        <f>3.2*((0.9+1.4)*2*2+(1.9*2+1.15*2))-1.4*4-1.6</f>
        <v>41.76</v>
      </c>
      <c r="F339" s="103"/>
      <c r="G339" s="103"/>
      <c r="H339" s="103"/>
      <c r="I339" s="103"/>
      <c r="J339" s="103"/>
      <c r="K339" s="103"/>
      <c r="L339" s="199"/>
      <c r="M339" s="199"/>
      <c r="N339" s="474"/>
    </row>
    <row r="340" spans="1:14" s="189" customFormat="1" ht="12.75" hidden="1" outlineLevel="2">
      <c r="A340" s="100"/>
      <c r="B340" s="106"/>
      <c r="C340" s="102" t="s">
        <v>1398</v>
      </c>
      <c r="D340" s="101"/>
      <c r="E340" s="144">
        <f>3.2*(3.675)-1.6</f>
        <v>10.16</v>
      </c>
      <c r="F340" s="103"/>
      <c r="G340" s="103"/>
      <c r="H340" s="103"/>
      <c r="I340" s="103"/>
      <c r="J340" s="103"/>
      <c r="K340" s="103"/>
      <c r="L340" s="199"/>
      <c r="M340" s="199"/>
      <c r="N340" s="474"/>
    </row>
    <row r="341" spans="1:14" s="189" customFormat="1" ht="12.75" hidden="1" outlineLevel="2">
      <c r="A341" s="100"/>
      <c r="B341" s="106"/>
      <c r="C341" s="102" t="s">
        <v>1399</v>
      </c>
      <c r="D341" s="101"/>
      <c r="E341" s="144">
        <f>3.2*(3.1+1.985*2)-1.6</f>
        <v>21.024</v>
      </c>
      <c r="F341" s="103"/>
      <c r="G341" s="103"/>
      <c r="H341" s="103"/>
      <c r="I341" s="103"/>
      <c r="J341" s="103"/>
      <c r="K341" s="103"/>
      <c r="L341" s="199"/>
      <c r="M341" s="199"/>
      <c r="N341" s="474"/>
    </row>
    <row r="342" spans="1:14" s="189" customFormat="1" ht="12.75" hidden="1" outlineLevel="2">
      <c r="A342" s="100"/>
      <c r="B342" s="106"/>
      <c r="C342" s="102" t="s">
        <v>1400</v>
      </c>
      <c r="D342" s="101"/>
      <c r="E342" s="144">
        <f>3.2*(3.1+1.4*2)-3*1.6</f>
        <v>14.080000000000002</v>
      </c>
      <c r="F342" s="103"/>
      <c r="G342" s="103"/>
      <c r="H342" s="103"/>
      <c r="I342" s="103"/>
      <c r="J342" s="103"/>
      <c r="K342" s="103"/>
      <c r="L342" s="199"/>
      <c r="M342" s="199"/>
      <c r="N342" s="474"/>
    </row>
    <row r="343" spans="1:14" s="189" customFormat="1" ht="12.75" hidden="1" outlineLevel="2">
      <c r="A343" s="100"/>
      <c r="B343" s="106"/>
      <c r="C343" s="102" t="s">
        <v>1401</v>
      </c>
      <c r="D343" s="101"/>
      <c r="E343" s="144">
        <f>3.2*(3.4)-1.8</f>
        <v>9.08</v>
      </c>
      <c r="F343" s="103"/>
      <c r="G343" s="103"/>
      <c r="H343" s="103"/>
      <c r="I343" s="103"/>
      <c r="J343" s="103"/>
      <c r="K343" s="103"/>
      <c r="L343" s="199"/>
      <c r="M343" s="199"/>
      <c r="N343" s="474"/>
    </row>
    <row r="344" spans="1:14" s="189" customFormat="1" ht="12.75" hidden="1" outlineLevel="2">
      <c r="A344" s="100"/>
      <c r="B344" s="106"/>
      <c r="C344" s="181" t="s">
        <v>1403</v>
      </c>
      <c r="D344" s="101"/>
      <c r="E344" s="144">
        <f>3.2*3.4*1.8</f>
        <v>19.584000000000003</v>
      </c>
      <c r="F344" s="103"/>
      <c r="G344" s="103"/>
      <c r="H344" s="103"/>
      <c r="I344" s="103"/>
      <c r="J344" s="103"/>
      <c r="K344" s="103"/>
      <c r="L344" s="199"/>
      <c r="M344" s="199"/>
      <c r="N344" s="474"/>
    </row>
    <row r="345" spans="1:14" s="189" customFormat="1" ht="12.75" hidden="1" outlineLevel="2">
      <c r="A345" s="100"/>
      <c r="B345" s="106"/>
      <c r="C345" s="102" t="s">
        <v>1402</v>
      </c>
      <c r="D345" s="101"/>
      <c r="E345" s="144">
        <f>3.2*(2.675+1.985*2)-1.6</f>
        <v>19.663999999999998</v>
      </c>
      <c r="F345" s="103"/>
      <c r="G345" s="103"/>
      <c r="H345" s="103"/>
      <c r="I345" s="103"/>
      <c r="J345" s="103"/>
      <c r="K345" s="103"/>
      <c r="L345" s="199"/>
      <c r="M345" s="199"/>
      <c r="N345" s="474"/>
    </row>
    <row r="346" spans="1:14" s="189" customFormat="1" ht="12.75" hidden="1" outlineLevel="2">
      <c r="A346" s="100"/>
      <c r="B346" s="106"/>
      <c r="C346" s="102" t="s">
        <v>1404</v>
      </c>
      <c r="D346" s="101"/>
      <c r="E346" s="144">
        <f>3.2*3.4*1.8</f>
        <v>19.584000000000003</v>
      </c>
      <c r="F346" s="103"/>
      <c r="G346" s="103"/>
      <c r="H346" s="103"/>
      <c r="I346" s="103"/>
      <c r="J346" s="103"/>
      <c r="K346" s="103"/>
      <c r="L346" s="199"/>
      <c r="M346" s="199"/>
      <c r="N346" s="474"/>
    </row>
    <row r="347" spans="1:14" s="189" customFormat="1" ht="12.75" hidden="1" outlineLevel="2">
      <c r="A347" s="100"/>
      <c r="B347" s="106"/>
      <c r="C347" s="102" t="s">
        <v>1665</v>
      </c>
      <c r="D347" s="101"/>
      <c r="E347" s="144">
        <f>3.2*(0.925+2.08)*2-1.4</f>
        <v>17.832</v>
      </c>
      <c r="F347" s="103"/>
      <c r="G347" s="103"/>
      <c r="H347" s="103"/>
      <c r="I347" s="103"/>
      <c r="J347" s="103"/>
      <c r="K347" s="103"/>
      <c r="L347" s="199"/>
      <c r="M347" s="199"/>
      <c r="N347" s="474"/>
    </row>
    <row r="348" spans="1:14" s="189" customFormat="1" ht="12.75" hidden="1" outlineLevel="2">
      <c r="A348" s="100"/>
      <c r="B348" s="106"/>
      <c r="C348" s="102" t="s">
        <v>1405</v>
      </c>
      <c r="D348" s="101"/>
      <c r="E348" s="144">
        <f>3.2*2*(2.5+0.975)-1.6</f>
        <v>20.64</v>
      </c>
      <c r="F348" s="103"/>
      <c r="G348" s="103"/>
      <c r="H348" s="103"/>
      <c r="I348" s="103"/>
      <c r="J348" s="103"/>
      <c r="K348" s="103"/>
      <c r="L348" s="199"/>
      <c r="M348" s="199"/>
      <c r="N348" s="474"/>
    </row>
    <row r="349" spans="1:14" s="189" customFormat="1" ht="12.75" hidden="1" outlineLevel="2">
      <c r="A349" s="100"/>
      <c r="B349" s="106"/>
      <c r="C349" s="102" t="s">
        <v>1406</v>
      </c>
      <c r="D349" s="101"/>
      <c r="E349" s="144">
        <f>3.2*2*(2.3+0.975)-1.6+3.2*(2.3+0.975)-1.6</f>
        <v>28.24</v>
      </c>
      <c r="F349" s="103"/>
      <c r="G349" s="103"/>
      <c r="H349" s="103"/>
      <c r="I349" s="103"/>
      <c r="J349" s="103"/>
      <c r="K349" s="103"/>
      <c r="L349" s="199"/>
      <c r="M349" s="199"/>
      <c r="N349" s="474"/>
    </row>
    <row r="350" spans="1:14" s="189" customFormat="1" ht="12.75" hidden="1" outlineLevel="2">
      <c r="A350" s="100"/>
      <c r="B350" s="106"/>
      <c r="C350" s="102" t="s">
        <v>1407</v>
      </c>
      <c r="D350" s="101"/>
      <c r="E350" s="144">
        <f>3.2*(2.2+2.7)*2-1.6</f>
        <v>29.76</v>
      </c>
      <c r="F350" s="103"/>
      <c r="G350" s="103"/>
      <c r="H350" s="103"/>
      <c r="I350" s="103"/>
      <c r="J350" s="103"/>
      <c r="K350" s="103"/>
      <c r="L350" s="199"/>
      <c r="M350" s="199"/>
      <c r="N350" s="474"/>
    </row>
    <row r="351" spans="1:14" s="189" customFormat="1" ht="12.75" hidden="1" outlineLevel="2">
      <c r="A351" s="100"/>
      <c r="B351" s="106"/>
      <c r="C351" s="102" t="s">
        <v>1408</v>
      </c>
      <c r="D351" s="101"/>
      <c r="E351" s="144">
        <f>3.2*(2*3.1+1.85*4+4*1.4)-4*1.4-1.6</f>
        <v>54.24000000000001</v>
      </c>
      <c r="F351" s="103"/>
      <c r="G351" s="103"/>
      <c r="H351" s="103"/>
      <c r="I351" s="103"/>
      <c r="J351" s="103"/>
      <c r="K351" s="103"/>
      <c r="L351" s="199"/>
      <c r="M351" s="199"/>
      <c r="N351" s="474"/>
    </row>
    <row r="352" spans="1:14" s="189" customFormat="1" ht="12.75" hidden="1" outlineLevel="2">
      <c r="A352" s="100"/>
      <c r="B352" s="106"/>
      <c r="C352" s="102" t="s">
        <v>1409</v>
      </c>
      <c r="D352" s="101"/>
      <c r="E352" s="144">
        <f>3.2*(1.5+2.1)*2-1.8</f>
        <v>21.240000000000002</v>
      </c>
      <c r="F352" s="103"/>
      <c r="G352" s="103"/>
      <c r="H352" s="103"/>
      <c r="I352" s="103"/>
      <c r="J352" s="103"/>
      <c r="K352" s="103"/>
      <c r="L352" s="199"/>
      <c r="M352" s="199"/>
      <c r="N352" s="474"/>
    </row>
    <row r="353" spans="1:14" s="189" customFormat="1" ht="12.75" hidden="1" outlineLevel="2">
      <c r="A353" s="100"/>
      <c r="B353" s="106"/>
      <c r="C353" s="102" t="s">
        <v>1410</v>
      </c>
      <c r="D353" s="101"/>
      <c r="E353" s="144">
        <f>3.2*(3.25+1.875*2)</f>
        <v>22.400000000000002</v>
      </c>
      <c r="F353" s="103"/>
      <c r="G353" s="103"/>
      <c r="H353" s="103"/>
      <c r="I353" s="103"/>
      <c r="J353" s="103"/>
      <c r="K353" s="103"/>
      <c r="L353" s="199"/>
      <c r="M353" s="199"/>
      <c r="N353" s="474"/>
    </row>
    <row r="354" spans="1:14" s="189" customFormat="1" ht="12.75" hidden="1" outlineLevel="2">
      <c r="A354" s="100"/>
      <c r="B354" s="106"/>
      <c r="C354" s="102" t="s">
        <v>1411</v>
      </c>
      <c r="D354" s="101"/>
      <c r="E354" s="144">
        <f>3.2*(3.7+2.75*2+2.3*2)-1.6-1.8</f>
        <v>40.76</v>
      </c>
      <c r="F354" s="103"/>
      <c r="G354" s="103"/>
      <c r="H354" s="103"/>
      <c r="I354" s="103"/>
      <c r="J354" s="103"/>
      <c r="K354" s="103"/>
      <c r="L354" s="199"/>
      <c r="M354" s="199"/>
      <c r="N354" s="474"/>
    </row>
    <row r="355" spans="1:14" s="189" customFormat="1" ht="12.75" hidden="1" outlineLevel="2">
      <c r="A355" s="100"/>
      <c r="B355" s="106"/>
      <c r="C355" s="102" t="s">
        <v>1412</v>
      </c>
      <c r="D355" s="101"/>
      <c r="E355" s="144">
        <f>3.2*(2.2+2.75)*2-1.8</f>
        <v>29.880000000000003</v>
      </c>
      <c r="F355" s="103"/>
      <c r="G355" s="103"/>
      <c r="H355" s="103"/>
      <c r="I355" s="103"/>
      <c r="J355" s="103"/>
      <c r="K355" s="103"/>
      <c r="L355" s="199"/>
      <c r="M355" s="199"/>
      <c r="N355" s="474"/>
    </row>
    <row r="356" spans="1:14" s="189" customFormat="1" ht="12.75" hidden="1" outlineLevel="2">
      <c r="A356" s="100"/>
      <c r="B356" s="106"/>
      <c r="C356" s="102" t="s">
        <v>1413</v>
      </c>
      <c r="D356" s="101"/>
      <c r="E356" s="144">
        <f>3.2*(2.3+3.15)-1.6</f>
        <v>15.839999999999998</v>
      </c>
      <c r="F356" s="103"/>
      <c r="G356" s="103"/>
      <c r="H356" s="103"/>
      <c r="I356" s="103"/>
      <c r="J356" s="103"/>
      <c r="K356" s="103"/>
      <c r="L356" s="199"/>
      <c r="M356" s="199"/>
      <c r="N356" s="474"/>
    </row>
    <row r="357" spans="1:14" s="189" customFormat="1" ht="12.75" hidden="1" outlineLevel="2">
      <c r="A357" s="100"/>
      <c r="B357" s="106"/>
      <c r="C357" s="102" t="s">
        <v>1414</v>
      </c>
      <c r="D357" s="101"/>
      <c r="E357" s="144">
        <f>3.2*(2.2+3.15)*2-1.6</f>
        <v>32.64</v>
      </c>
      <c r="F357" s="103"/>
      <c r="G357" s="103"/>
      <c r="H357" s="103"/>
      <c r="I357" s="103"/>
      <c r="J357" s="103"/>
      <c r="K357" s="103"/>
      <c r="L357" s="199"/>
      <c r="M357" s="199"/>
      <c r="N357" s="474"/>
    </row>
    <row r="358" spans="1:14" s="189" customFormat="1" ht="12.75" hidden="1" outlineLevel="2">
      <c r="A358" s="100"/>
      <c r="B358" s="106"/>
      <c r="C358" s="102" t="s">
        <v>1415</v>
      </c>
      <c r="D358" s="101"/>
      <c r="E358" s="144">
        <f>3.2*(2.2+3.15)*2-1.6</f>
        <v>32.64</v>
      </c>
      <c r="F358" s="103"/>
      <c r="G358" s="103"/>
      <c r="H358" s="103"/>
      <c r="I358" s="103"/>
      <c r="J358" s="103"/>
      <c r="K358" s="103"/>
      <c r="L358" s="199"/>
      <c r="M358" s="199"/>
      <c r="N358" s="474"/>
    </row>
    <row r="359" spans="1:14" s="189" customFormat="1" ht="12.75" hidden="1" outlineLevel="2">
      <c r="A359" s="100"/>
      <c r="B359" s="106"/>
      <c r="C359" s="102" t="s">
        <v>1416</v>
      </c>
      <c r="D359" s="101"/>
      <c r="E359" s="144">
        <f>3.2*(3.1+2.75*2)-1.6</f>
        <v>25.919999999999998</v>
      </c>
      <c r="F359" s="103"/>
      <c r="G359" s="103"/>
      <c r="H359" s="103"/>
      <c r="I359" s="103"/>
      <c r="J359" s="103"/>
      <c r="K359" s="103"/>
      <c r="L359" s="199"/>
      <c r="M359" s="199"/>
      <c r="N359" s="474"/>
    </row>
    <row r="360" spans="1:14" s="189" customFormat="1" ht="12.75" hidden="1" outlineLevel="2">
      <c r="A360" s="100"/>
      <c r="B360" s="106"/>
      <c r="C360" s="102" t="s">
        <v>1417</v>
      </c>
      <c r="D360" s="101"/>
      <c r="E360" s="144">
        <f>3.2*(2.7+2.2)*2-1.6</f>
        <v>29.76</v>
      </c>
      <c r="F360" s="103"/>
      <c r="G360" s="103"/>
      <c r="H360" s="103"/>
      <c r="I360" s="103"/>
      <c r="J360" s="103"/>
      <c r="K360" s="103"/>
      <c r="L360" s="199"/>
      <c r="M360" s="199"/>
      <c r="N360" s="474"/>
    </row>
    <row r="361" spans="1:14" s="189" customFormat="1" ht="12.75" hidden="1" outlineLevel="2">
      <c r="A361" s="100"/>
      <c r="B361" s="106"/>
      <c r="C361" s="102" t="s">
        <v>1538</v>
      </c>
      <c r="D361" s="101"/>
      <c r="E361" s="144">
        <f>3.2*(2.7+2.3)-1.6</f>
        <v>14.4</v>
      </c>
      <c r="F361" s="103"/>
      <c r="G361" s="103"/>
      <c r="H361" s="103"/>
      <c r="I361" s="103"/>
      <c r="J361" s="103"/>
      <c r="K361" s="103"/>
      <c r="L361" s="199"/>
      <c r="M361" s="199"/>
      <c r="N361" s="474"/>
    </row>
    <row r="362" spans="1:14" s="189" customFormat="1" ht="12.75" hidden="1" outlineLevel="2">
      <c r="A362" s="100"/>
      <c r="B362" s="106"/>
      <c r="C362" s="102" t="s">
        <v>351</v>
      </c>
      <c r="D362" s="101"/>
      <c r="E362" s="144"/>
      <c r="F362" s="103"/>
      <c r="G362" s="103"/>
      <c r="H362" s="103"/>
      <c r="I362" s="103"/>
      <c r="J362" s="103"/>
      <c r="K362" s="103"/>
      <c r="L362" s="199"/>
      <c r="M362" s="199"/>
      <c r="N362" s="474"/>
    </row>
    <row r="363" spans="1:14" s="189" customFormat="1" ht="12.75" hidden="1" outlineLevel="2">
      <c r="A363" s="100"/>
      <c r="B363" s="106"/>
      <c r="C363" s="102" t="s">
        <v>1543</v>
      </c>
      <c r="D363" s="101"/>
      <c r="E363" s="144">
        <f>3*3.4-1.8</f>
        <v>8.399999999999999</v>
      </c>
      <c r="F363" s="103"/>
      <c r="G363" s="103"/>
      <c r="H363" s="103"/>
      <c r="I363" s="103"/>
      <c r="J363" s="103"/>
      <c r="K363" s="103"/>
      <c r="L363" s="199"/>
      <c r="M363" s="199"/>
      <c r="N363" s="474"/>
    </row>
    <row r="364" spans="1:14" s="189" customFormat="1" ht="12.75" hidden="1" outlineLevel="2">
      <c r="A364" s="100"/>
      <c r="B364" s="106"/>
      <c r="C364" s="102" t="s">
        <v>1544</v>
      </c>
      <c r="D364" s="101"/>
      <c r="E364" s="144">
        <f>3*(2.97+1.3*2)-1.8*2-1.6</f>
        <v>11.510000000000002</v>
      </c>
      <c r="F364" s="103"/>
      <c r="G364" s="103"/>
      <c r="H364" s="103"/>
      <c r="I364" s="103"/>
      <c r="J364" s="103"/>
      <c r="K364" s="103"/>
      <c r="L364" s="199"/>
      <c r="M364" s="199"/>
      <c r="N364" s="474"/>
    </row>
    <row r="365" spans="1:14" s="189" customFormat="1" ht="12.75" hidden="1" outlineLevel="2">
      <c r="A365" s="100"/>
      <c r="B365" s="106"/>
      <c r="C365" s="102" t="s">
        <v>1545</v>
      </c>
      <c r="D365" s="101"/>
      <c r="E365" s="144">
        <f>3*(2.97+2)*2-1.6</f>
        <v>28.220000000000002</v>
      </c>
      <c r="F365" s="103"/>
      <c r="G365" s="103"/>
      <c r="H365" s="103"/>
      <c r="I365" s="103"/>
      <c r="J365" s="103"/>
      <c r="K365" s="103"/>
      <c r="L365" s="199"/>
      <c r="M365" s="199"/>
      <c r="N365" s="474"/>
    </row>
    <row r="366" spans="1:14" s="189" customFormat="1" ht="12.75" hidden="1" outlineLevel="2">
      <c r="A366" s="100"/>
      <c r="B366" s="106"/>
      <c r="C366" s="102" t="s">
        <v>1546</v>
      </c>
      <c r="D366" s="101"/>
      <c r="E366" s="144">
        <f>3*3.4-1.8</f>
        <v>8.399999999999999</v>
      </c>
      <c r="F366" s="103"/>
      <c r="G366" s="103"/>
      <c r="H366" s="103"/>
      <c r="I366" s="103"/>
      <c r="J366" s="103"/>
      <c r="K366" s="103"/>
      <c r="L366" s="199"/>
      <c r="M366" s="199"/>
      <c r="N366" s="474"/>
    </row>
    <row r="367" spans="1:14" s="189" customFormat="1" ht="12.75" hidden="1" outlineLevel="2">
      <c r="A367" s="100"/>
      <c r="B367" s="106"/>
      <c r="C367" s="102" t="s">
        <v>1547</v>
      </c>
      <c r="D367" s="101"/>
      <c r="E367" s="144">
        <f>3*3.4-1.8</f>
        <v>8.399999999999999</v>
      </c>
      <c r="F367" s="103"/>
      <c r="G367" s="103"/>
      <c r="H367" s="103"/>
      <c r="I367" s="103"/>
      <c r="J367" s="103"/>
      <c r="K367" s="103"/>
      <c r="L367" s="199"/>
      <c r="M367" s="199"/>
      <c r="N367" s="474"/>
    </row>
    <row r="368" spans="1:14" s="189" customFormat="1" ht="12.75" hidden="1" outlineLevel="2">
      <c r="A368" s="100"/>
      <c r="B368" s="106"/>
      <c r="C368" s="102" t="s">
        <v>1548</v>
      </c>
      <c r="D368" s="101"/>
      <c r="E368" s="144">
        <f>3*(3.8+2*1.3)-1.6-2*1.8</f>
        <v>14.000000000000002</v>
      </c>
      <c r="F368" s="103"/>
      <c r="G368" s="103"/>
      <c r="H368" s="103"/>
      <c r="I368" s="103"/>
      <c r="J368" s="103"/>
      <c r="K368" s="103"/>
      <c r="L368" s="199"/>
      <c r="M368" s="199"/>
      <c r="N368" s="474"/>
    </row>
    <row r="369" spans="1:14" s="189" customFormat="1" ht="12.75" hidden="1" outlineLevel="2">
      <c r="A369" s="100"/>
      <c r="B369" s="106"/>
      <c r="C369" s="102" t="s">
        <v>1549</v>
      </c>
      <c r="D369" s="101"/>
      <c r="E369" s="144">
        <f>3*(3.8+2)*2-1.6</f>
        <v>33.199999999999996</v>
      </c>
      <c r="F369" s="103"/>
      <c r="G369" s="103"/>
      <c r="H369" s="103"/>
      <c r="I369" s="103"/>
      <c r="J369" s="103"/>
      <c r="K369" s="103"/>
      <c r="L369" s="199"/>
      <c r="M369" s="199"/>
      <c r="N369" s="474"/>
    </row>
    <row r="370" spans="1:14" s="189" customFormat="1" ht="12.75" hidden="1" outlineLevel="2">
      <c r="A370" s="100"/>
      <c r="B370" s="106"/>
      <c r="C370" s="102" t="s">
        <v>1550</v>
      </c>
      <c r="D370" s="101"/>
      <c r="E370" s="144">
        <f>3*3.4*2-1.8</f>
        <v>18.599999999999998</v>
      </c>
      <c r="F370" s="103"/>
      <c r="G370" s="103"/>
      <c r="H370" s="103"/>
      <c r="I370" s="103"/>
      <c r="J370" s="103"/>
      <c r="K370" s="103"/>
      <c r="L370" s="199"/>
      <c r="M370" s="199"/>
      <c r="N370" s="474"/>
    </row>
    <row r="371" spans="1:14" s="189" customFormat="1" ht="12.75" hidden="1" outlineLevel="2">
      <c r="A371" s="100"/>
      <c r="B371" s="106"/>
      <c r="C371" s="102" t="s">
        <v>1551</v>
      </c>
      <c r="D371" s="101"/>
      <c r="E371" s="144">
        <f>3*3.4</f>
        <v>10.2</v>
      </c>
      <c r="F371" s="103"/>
      <c r="G371" s="103"/>
      <c r="H371" s="103"/>
      <c r="I371" s="103"/>
      <c r="J371" s="103"/>
      <c r="K371" s="103"/>
      <c r="L371" s="199"/>
      <c r="M371" s="199"/>
      <c r="N371" s="474"/>
    </row>
    <row r="372" spans="1:14" s="189" customFormat="1" ht="12.75" hidden="1" outlineLevel="2">
      <c r="A372" s="100"/>
      <c r="B372" s="106"/>
      <c r="C372" s="102" t="s">
        <v>1552</v>
      </c>
      <c r="D372" s="101"/>
      <c r="E372" s="144">
        <f>3*(3.25)-1.6*2.1</f>
        <v>6.39</v>
      </c>
      <c r="F372" s="103"/>
      <c r="G372" s="103"/>
      <c r="H372" s="103"/>
      <c r="I372" s="103"/>
      <c r="J372" s="103"/>
      <c r="K372" s="103"/>
      <c r="L372" s="199"/>
      <c r="M372" s="199"/>
      <c r="N372" s="474"/>
    </row>
    <row r="373" spans="1:14" s="189" customFormat="1" ht="12.75" hidden="1" outlineLevel="2">
      <c r="A373" s="100"/>
      <c r="B373" s="106"/>
      <c r="C373" s="102" t="s">
        <v>1553</v>
      </c>
      <c r="D373" s="101"/>
      <c r="E373" s="144">
        <f>3*(1.98+2.2)*2-1.6</f>
        <v>23.479999999999997</v>
      </c>
      <c r="F373" s="103"/>
      <c r="G373" s="103"/>
      <c r="H373" s="103"/>
      <c r="I373" s="103"/>
      <c r="J373" s="103"/>
      <c r="K373" s="103"/>
      <c r="L373" s="199"/>
      <c r="M373" s="199"/>
      <c r="N373" s="474"/>
    </row>
    <row r="374" spans="1:14" s="189" customFormat="1" ht="12.75" hidden="1" outlineLevel="2">
      <c r="A374" s="100"/>
      <c r="B374" s="106"/>
      <c r="C374" s="102" t="s">
        <v>1554</v>
      </c>
      <c r="D374" s="101"/>
      <c r="E374" s="144">
        <f>3*(2.5+2.3)-1.6</f>
        <v>12.799999999999999</v>
      </c>
      <c r="F374" s="103"/>
      <c r="G374" s="103"/>
      <c r="H374" s="103"/>
      <c r="I374" s="103"/>
      <c r="J374" s="103"/>
      <c r="K374" s="103"/>
      <c r="L374" s="199"/>
      <c r="M374" s="199"/>
      <c r="N374" s="474"/>
    </row>
    <row r="375" spans="1:14" s="189" customFormat="1" ht="12.75" hidden="1" outlineLevel="2">
      <c r="A375" s="100"/>
      <c r="B375" s="106"/>
      <c r="C375" s="102" t="s">
        <v>1555</v>
      </c>
      <c r="D375" s="101"/>
      <c r="E375" s="144">
        <f>3*(2.68+2.2)*2-1.6</f>
        <v>27.680000000000003</v>
      </c>
      <c r="F375" s="103"/>
      <c r="G375" s="103"/>
      <c r="H375" s="103"/>
      <c r="I375" s="103"/>
      <c r="J375" s="103"/>
      <c r="K375" s="103"/>
      <c r="L375" s="199"/>
      <c r="M375" s="199"/>
      <c r="N375" s="474"/>
    </row>
    <row r="376" spans="1:14" s="189" customFormat="1" ht="12.75" hidden="1" outlineLevel="2">
      <c r="A376" s="100"/>
      <c r="B376" s="106"/>
      <c r="C376" s="102" t="s">
        <v>1556</v>
      </c>
      <c r="D376" s="101"/>
      <c r="E376" s="144">
        <f>3*(3.1+2.3)-1.6</f>
        <v>14.600000000000003</v>
      </c>
      <c r="F376" s="103"/>
      <c r="G376" s="103"/>
      <c r="H376" s="103"/>
      <c r="I376" s="103"/>
      <c r="J376" s="103"/>
      <c r="K376" s="103"/>
      <c r="L376" s="199"/>
      <c r="M376" s="199"/>
      <c r="N376" s="474"/>
    </row>
    <row r="377" spans="1:14" s="189" customFormat="1" ht="12.75" hidden="1" outlineLevel="2">
      <c r="A377" s="100"/>
      <c r="B377" s="106"/>
      <c r="C377" s="102" t="s">
        <v>1557</v>
      </c>
      <c r="D377" s="101"/>
      <c r="E377" s="144">
        <f>3*(2.2+2.95)*2-1.6</f>
        <v>29.3</v>
      </c>
      <c r="F377" s="103"/>
      <c r="G377" s="103"/>
      <c r="H377" s="103"/>
      <c r="I377" s="103"/>
      <c r="J377" s="103"/>
      <c r="K377" s="103"/>
      <c r="L377" s="199"/>
      <c r="M377" s="199"/>
      <c r="N377" s="474"/>
    </row>
    <row r="378" spans="1:14" s="189" customFormat="1" ht="12.75" hidden="1" outlineLevel="2">
      <c r="A378" s="100"/>
      <c r="B378" s="106"/>
      <c r="C378" s="102" t="s">
        <v>1558</v>
      </c>
      <c r="D378" s="101"/>
      <c r="E378" s="144">
        <f>3*(2.3+3.025)-1.6</f>
        <v>14.374999999999998</v>
      </c>
      <c r="F378" s="103"/>
      <c r="G378" s="103"/>
      <c r="H378" s="103"/>
      <c r="I378" s="103"/>
      <c r="J378" s="103"/>
      <c r="K378" s="103"/>
      <c r="L378" s="199"/>
      <c r="M378" s="199"/>
      <c r="N378" s="474"/>
    </row>
    <row r="379" spans="1:14" s="189" customFormat="1" ht="12.75" hidden="1" outlineLevel="2">
      <c r="A379" s="100"/>
      <c r="B379" s="106"/>
      <c r="C379" s="102" t="s">
        <v>1559</v>
      </c>
      <c r="D379" s="101"/>
      <c r="E379" s="144">
        <f>3*(2.2+2.58)*2-1.6</f>
        <v>27.08</v>
      </c>
      <c r="F379" s="103"/>
      <c r="G379" s="103"/>
      <c r="H379" s="103"/>
      <c r="I379" s="103"/>
      <c r="J379" s="103"/>
      <c r="K379" s="103"/>
      <c r="L379" s="199"/>
      <c r="M379" s="199"/>
      <c r="N379" s="474"/>
    </row>
    <row r="380" spans="1:14" s="189" customFormat="1" ht="12.75" hidden="1" outlineLevel="2">
      <c r="A380" s="100"/>
      <c r="B380" s="106"/>
      <c r="C380" s="102" t="s">
        <v>1560</v>
      </c>
      <c r="D380" s="101"/>
      <c r="E380" s="144">
        <f>3*(3.1+2.3)-1.6</f>
        <v>14.600000000000003</v>
      </c>
      <c r="F380" s="103"/>
      <c r="G380" s="103"/>
      <c r="H380" s="103"/>
      <c r="I380" s="103"/>
      <c r="J380" s="103"/>
      <c r="K380" s="103"/>
      <c r="L380" s="199"/>
      <c r="M380" s="199"/>
      <c r="N380" s="474"/>
    </row>
    <row r="381" spans="1:14" s="189" customFormat="1" ht="12.75" hidden="1" outlineLevel="2">
      <c r="A381" s="100"/>
      <c r="B381" s="106"/>
      <c r="C381" s="102" t="s">
        <v>1561</v>
      </c>
      <c r="D381" s="101"/>
      <c r="E381" s="144">
        <f>3*(3+2.3)-1.6</f>
        <v>14.299999999999999</v>
      </c>
      <c r="F381" s="103"/>
      <c r="G381" s="103"/>
      <c r="H381" s="103"/>
      <c r="I381" s="103"/>
      <c r="J381" s="103"/>
      <c r="K381" s="103"/>
      <c r="L381" s="199"/>
      <c r="M381" s="199"/>
      <c r="N381" s="474"/>
    </row>
    <row r="382" spans="1:14" s="189" customFormat="1" ht="12.75" hidden="1" outlineLevel="2">
      <c r="A382" s="100"/>
      <c r="B382" s="106"/>
      <c r="C382" s="102" t="s">
        <v>1562</v>
      </c>
      <c r="D382" s="101"/>
      <c r="E382" s="144">
        <f>3*(2.3+3)*2-1.6</f>
        <v>30.199999999999996</v>
      </c>
      <c r="F382" s="103"/>
      <c r="G382" s="103"/>
      <c r="H382" s="103"/>
      <c r="I382" s="103"/>
      <c r="J382" s="103"/>
      <c r="K382" s="103"/>
      <c r="L382" s="199"/>
      <c r="M382" s="199"/>
      <c r="N382" s="474"/>
    </row>
    <row r="383" spans="1:14" s="189" customFormat="1" ht="12.75" hidden="1" outlineLevel="2">
      <c r="A383" s="100"/>
      <c r="B383" s="106"/>
      <c r="C383" s="102" t="s">
        <v>1563</v>
      </c>
      <c r="D383" s="101"/>
      <c r="E383" s="144">
        <f>3*(2.2+2.48)*2-1.6</f>
        <v>26.479999999999997</v>
      </c>
      <c r="F383" s="103"/>
      <c r="G383" s="103"/>
      <c r="H383" s="103"/>
      <c r="I383" s="103"/>
      <c r="J383" s="103"/>
      <c r="K383" s="103"/>
      <c r="L383" s="199"/>
      <c r="M383" s="199"/>
      <c r="N383" s="474"/>
    </row>
    <row r="384" spans="1:14" s="189" customFormat="1" ht="12.75" hidden="1" outlineLevel="2">
      <c r="A384" s="100"/>
      <c r="B384" s="106"/>
      <c r="C384" s="102" t="s">
        <v>1564</v>
      </c>
      <c r="D384" s="101"/>
      <c r="E384" s="144">
        <f>3*(2.3+3)-1.6+3*6</f>
        <v>32.3</v>
      </c>
      <c r="F384" s="103"/>
      <c r="G384" s="103"/>
      <c r="H384" s="103"/>
      <c r="I384" s="103"/>
      <c r="J384" s="103"/>
      <c r="K384" s="103"/>
      <c r="L384" s="199"/>
      <c r="M384" s="199"/>
      <c r="N384" s="474"/>
    </row>
    <row r="385" spans="1:14" s="189" customFormat="1" ht="12.75" hidden="1" outlineLevel="2">
      <c r="A385" s="100"/>
      <c r="B385" s="106"/>
      <c r="C385" s="102" t="s">
        <v>1565</v>
      </c>
      <c r="D385" s="101"/>
      <c r="E385" s="144">
        <f>3*6+3*(2.465+2.3)-1.6+3*(2.3+0.98)-1.6</f>
        <v>38.934999999999995</v>
      </c>
      <c r="F385" s="103"/>
      <c r="G385" s="103"/>
      <c r="H385" s="103"/>
      <c r="I385" s="103"/>
      <c r="J385" s="103"/>
      <c r="K385" s="103"/>
      <c r="L385" s="199"/>
      <c r="M385" s="199"/>
      <c r="N385" s="474"/>
    </row>
    <row r="386" spans="1:14" s="189" customFormat="1" ht="12.75" hidden="1" outlineLevel="2">
      <c r="A386" s="100"/>
      <c r="B386" s="106"/>
      <c r="C386" s="102" t="s">
        <v>1566</v>
      </c>
      <c r="D386" s="101"/>
      <c r="E386" s="144">
        <f>3*(3+2.2)*2-1.6</f>
        <v>29.6</v>
      </c>
      <c r="F386" s="103"/>
      <c r="G386" s="103"/>
      <c r="H386" s="103"/>
      <c r="I386" s="103"/>
      <c r="J386" s="103"/>
      <c r="K386" s="103"/>
      <c r="L386" s="199"/>
      <c r="M386" s="199"/>
      <c r="N386" s="474"/>
    </row>
    <row r="387" spans="1:14" s="189" customFormat="1" ht="12.75" hidden="1" outlineLevel="2">
      <c r="A387" s="100"/>
      <c r="B387" s="106"/>
      <c r="C387" s="102" t="s">
        <v>1567</v>
      </c>
      <c r="D387" s="101"/>
      <c r="E387" s="144">
        <f>3*(2.43+2.2)*2-1.6</f>
        <v>26.180000000000003</v>
      </c>
      <c r="F387" s="103"/>
      <c r="G387" s="103"/>
      <c r="H387" s="103"/>
      <c r="I387" s="103"/>
      <c r="J387" s="103"/>
      <c r="K387" s="103"/>
      <c r="L387" s="199"/>
      <c r="M387" s="199"/>
      <c r="N387" s="474"/>
    </row>
    <row r="388" spans="1:14" s="189" customFormat="1" ht="12.75" hidden="1" outlineLevel="2">
      <c r="A388" s="100"/>
      <c r="B388" s="106"/>
      <c r="C388" s="102" t="s">
        <v>1568</v>
      </c>
      <c r="D388" s="101"/>
      <c r="E388" s="144">
        <f>3*(1.975+0.15+2.85+0.1+2.3)-1.6</f>
        <v>20.524999999999995</v>
      </c>
      <c r="F388" s="103"/>
      <c r="G388" s="103"/>
      <c r="H388" s="103"/>
      <c r="I388" s="103"/>
      <c r="J388" s="103"/>
      <c r="K388" s="103"/>
      <c r="L388" s="199"/>
      <c r="M388" s="199"/>
      <c r="N388" s="474"/>
    </row>
    <row r="389" spans="1:14" s="189" customFormat="1" ht="12.75" hidden="1" outlineLevel="2">
      <c r="A389" s="100"/>
      <c r="B389" s="106"/>
      <c r="C389" s="102" t="s">
        <v>1569</v>
      </c>
      <c r="D389" s="101"/>
      <c r="E389" s="144">
        <f>3*6-2*1.6*2.1</f>
        <v>11.28</v>
      </c>
      <c r="F389" s="103"/>
      <c r="G389" s="103"/>
      <c r="H389" s="103"/>
      <c r="I389" s="103"/>
      <c r="J389" s="103"/>
      <c r="K389" s="103"/>
      <c r="L389" s="199"/>
      <c r="M389" s="199"/>
      <c r="N389" s="474"/>
    </row>
    <row r="390" spans="1:14" s="189" customFormat="1" ht="12.75" hidden="1" outlineLevel="2">
      <c r="A390" s="100"/>
      <c r="B390" s="106"/>
      <c r="C390" s="102" t="s">
        <v>1570</v>
      </c>
      <c r="D390" s="101"/>
      <c r="E390" s="144">
        <f>3*(3.15+1.665+0.8+2.575)-1.4</f>
        <v>23.17</v>
      </c>
      <c r="F390" s="103"/>
      <c r="G390" s="103"/>
      <c r="H390" s="103"/>
      <c r="I390" s="103"/>
      <c r="J390" s="103"/>
      <c r="K390" s="103"/>
      <c r="L390" s="199"/>
      <c r="M390" s="199"/>
      <c r="N390" s="474"/>
    </row>
    <row r="391" spans="1:14" s="189" customFormat="1" ht="12.75" hidden="1" outlineLevel="2">
      <c r="A391" s="100"/>
      <c r="B391" s="106"/>
      <c r="C391" s="102" t="s">
        <v>1571</v>
      </c>
      <c r="D391" s="101"/>
      <c r="E391" s="144">
        <f>3*(3.15+0.6+0.15)</f>
        <v>11.7</v>
      </c>
      <c r="F391" s="103"/>
      <c r="G391" s="103"/>
      <c r="H391" s="103"/>
      <c r="I391" s="103"/>
      <c r="J391" s="103"/>
      <c r="K391" s="103"/>
      <c r="L391" s="199"/>
      <c r="M391" s="199"/>
      <c r="N391" s="474"/>
    </row>
    <row r="392" spans="1:14" s="189" customFormat="1" ht="12.75" hidden="1" outlineLevel="2">
      <c r="A392" s="100"/>
      <c r="B392" s="106"/>
      <c r="C392" s="102" t="s">
        <v>1572</v>
      </c>
      <c r="D392" s="101"/>
      <c r="E392" s="144">
        <f>3*(6)-1.8</f>
        <v>16.2</v>
      </c>
      <c r="F392" s="103"/>
      <c r="G392" s="103"/>
      <c r="H392" s="103"/>
      <c r="I392" s="103"/>
      <c r="J392" s="103"/>
      <c r="K392" s="103"/>
      <c r="L392" s="199"/>
      <c r="M392" s="199"/>
      <c r="N392" s="474"/>
    </row>
    <row r="393" spans="1:14" s="189" customFormat="1" ht="12.75" hidden="1" outlineLevel="2">
      <c r="A393" s="100"/>
      <c r="B393" s="106"/>
      <c r="C393" s="102" t="s">
        <v>1573</v>
      </c>
      <c r="D393" s="101"/>
      <c r="E393" s="144">
        <f>3*3.35*2</f>
        <v>20.1</v>
      </c>
      <c r="F393" s="103"/>
      <c r="G393" s="103"/>
      <c r="H393" s="103"/>
      <c r="I393" s="103"/>
      <c r="J393" s="103"/>
      <c r="K393" s="103"/>
      <c r="L393" s="199"/>
      <c r="M393" s="199"/>
      <c r="N393" s="474"/>
    </row>
    <row r="394" spans="1:14" s="189" customFormat="1" ht="12.75" hidden="1" outlineLevel="2">
      <c r="A394" s="100"/>
      <c r="B394" s="106"/>
      <c r="C394" s="102" t="s">
        <v>1574</v>
      </c>
      <c r="D394" s="101"/>
      <c r="E394" s="144">
        <f>3*(1.5+1.225)*2-1.4</f>
        <v>14.950000000000001</v>
      </c>
      <c r="F394" s="103"/>
      <c r="G394" s="103"/>
      <c r="H394" s="103"/>
      <c r="I394" s="103"/>
      <c r="J394" s="103"/>
      <c r="K394" s="103"/>
      <c r="L394" s="199"/>
      <c r="M394" s="199"/>
      <c r="N394" s="474"/>
    </row>
    <row r="395" spans="1:14" s="189" customFormat="1" ht="12.75" hidden="1" outlineLevel="2">
      <c r="A395" s="100"/>
      <c r="B395" s="106"/>
      <c r="C395" s="102" t="s">
        <v>1575</v>
      </c>
      <c r="D395" s="101"/>
      <c r="E395" s="144">
        <f>3*(3.125+1.85+1.325+1.5+1.8+3.335)-1.8</f>
        <v>37.004999999999995</v>
      </c>
      <c r="F395" s="103"/>
      <c r="G395" s="103"/>
      <c r="H395" s="103"/>
      <c r="I395" s="103"/>
      <c r="J395" s="103"/>
      <c r="K395" s="103"/>
      <c r="L395" s="199"/>
      <c r="M395" s="199"/>
      <c r="N395" s="474"/>
    </row>
    <row r="396" spans="1:14" s="189" customFormat="1" ht="12.75" hidden="1" outlineLevel="2">
      <c r="A396" s="100"/>
      <c r="B396" s="106"/>
      <c r="C396" s="102" t="s">
        <v>1594</v>
      </c>
      <c r="D396" s="101"/>
      <c r="E396" s="144">
        <f>3*3.35-1.8</f>
        <v>8.25</v>
      </c>
      <c r="F396" s="103"/>
      <c r="G396" s="103"/>
      <c r="H396" s="103"/>
      <c r="I396" s="103"/>
      <c r="J396" s="103"/>
      <c r="K396" s="103"/>
      <c r="L396" s="199"/>
      <c r="M396" s="199"/>
      <c r="N396" s="474"/>
    </row>
    <row r="397" spans="1:14" s="189" customFormat="1" ht="12.75" hidden="1" outlineLevel="2">
      <c r="A397" s="100"/>
      <c r="B397" s="106"/>
      <c r="C397" s="102" t="s">
        <v>1576</v>
      </c>
      <c r="D397" s="101"/>
      <c r="E397" s="144">
        <f>3*(3+2)*2-1.6</f>
        <v>28.4</v>
      </c>
      <c r="F397" s="103"/>
      <c r="G397" s="103"/>
      <c r="H397" s="103"/>
      <c r="I397" s="103"/>
      <c r="J397" s="103"/>
      <c r="K397" s="103"/>
      <c r="L397" s="199"/>
      <c r="M397" s="199"/>
      <c r="N397" s="474"/>
    </row>
    <row r="398" spans="1:14" s="189" customFormat="1" ht="12.75" hidden="1" outlineLevel="2">
      <c r="A398" s="100"/>
      <c r="B398" s="106"/>
      <c r="C398" s="102" t="s">
        <v>1577</v>
      </c>
      <c r="D398" s="101"/>
      <c r="E398" s="144">
        <f>3*(3+1.3*2)-1.6-2*1.8</f>
        <v>11.599999999999998</v>
      </c>
      <c r="F398" s="103"/>
      <c r="G398" s="103"/>
      <c r="H398" s="103"/>
      <c r="I398" s="103"/>
      <c r="J398" s="103"/>
      <c r="K398" s="103"/>
      <c r="L398" s="199"/>
      <c r="M398" s="199"/>
      <c r="N398" s="474"/>
    </row>
    <row r="399" spans="1:14" s="189" customFormat="1" ht="12.75" hidden="1" outlineLevel="2">
      <c r="A399" s="100"/>
      <c r="B399" s="106"/>
      <c r="C399" s="102" t="s">
        <v>1578</v>
      </c>
      <c r="D399" s="101"/>
      <c r="E399" s="144">
        <f>3*3.35-1.8</f>
        <v>8.25</v>
      </c>
      <c r="F399" s="103"/>
      <c r="G399" s="103"/>
      <c r="H399" s="103"/>
      <c r="I399" s="103"/>
      <c r="J399" s="103"/>
      <c r="K399" s="103"/>
      <c r="L399" s="199"/>
      <c r="M399" s="199"/>
      <c r="N399" s="474"/>
    </row>
    <row r="400" spans="1:14" s="189" customFormat="1" ht="12.75" hidden="1" outlineLevel="2">
      <c r="A400" s="100"/>
      <c r="B400" s="106"/>
      <c r="C400" s="102" t="s">
        <v>1579</v>
      </c>
      <c r="D400" s="101"/>
      <c r="E400" s="144">
        <f>3*3.35-1.8</f>
        <v>8.25</v>
      </c>
      <c r="F400" s="103"/>
      <c r="G400" s="103"/>
      <c r="H400" s="103"/>
      <c r="I400" s="103"/>
      <c r="J400" s="103"/>
      <c r="K400" s="103"/>
      <c r="L400" s="199"/>
      <c r="M400" s="199"/>
      <c r="N400" s="474"/>
    </row>
    <row r="401" spans="1:14" s="189" customFormat="1" ht="12.75" hidden="1" outlineLevel="2">
      <c r="A401" s="100"/>
      <c r="B401" s="106"/>
      <c r="C401" s="102" t="s">
        <v>1580</v>
      </c>
      <c r="D401" s="101"/>
      <c r="E401" s="144">
        <f>3*(3+2)*2-1.6</f>
        <v>28.4</v>
      </c>
      <c r="F401" s="103"/>
      <c r="G401" s="103"/>
      <c r="H401" s="103"/>
      <c r="I401" s="103"/>
      <c r="J401" s="103"/>
      <c r="K401" s="103"/>
      <c r="L401" s="199"/>
      <c r="M401" s="199"/>
      <c r="N401" s="474"/>
    </row>
    <row r="402" spans="1:14" s="189" customFormat="1" ht="12.75" hidden="1" outlineLevel="2">
      <c r="A402" s="100"/>
      <c r="B402" s="106"/>
      <c r="C402" s="102" t="s">
        <v>1581</v>
      </c>
      <c r="D402" s="101"/>
      <c r="E402" s="144">
        <f>3*(3+2*1.225)-1.6-2*1.8</f>
        <v>11.150000000000002</v>
      </c>
      <c r="F402" s="103"/>
      <c r="G402" s="103"/>
      <c r="H402" s="103"/>
      <c r="I402" s="103"/>
      <c r="J402" s="103"/>
      <c r="K402" s="103"/>
      <c r="L402" s="199"/>
      <c r="M402" s="199"/>
      <c r="N402" s="474"/>
    </row>
    <row r="403" spans="1:14" s="189" customFormat="1" ht="12.75" hidden="1" outlineLevel="2">
      <c r="A403" s="100"/>
      <c r="B403" s="106"/>
      <c r="C403" s="102" t="s">
        <v>1582</v>
      </c>
      <c r="D403" s="101"/>
      <c r="E403" s="144">
        <f>3*(5.05+3.325)-1.8</f>
        <v>23.325</v>
      </c>
      <c r="F403" s="103"/>
      <c r="G403" s="103"/>
      <c r="H403" s="103"/>
      <c r="I403" s="103"/>
      <c r="J403" s="103"/>
      <c r="K403" s="103"/>
      <c r="L403" s="199"/>
      <c r="M403" s="199"/>
      <c r="N403" s="474"/>
    </row>
    <row r="404" spans="1:14" s="189" customFormat="1" ht="12.75" hidden="1" outlineLevel="2">
      <c r="A404" s="100"/>
      <c r="B404" s="106"/>
      <c r="C404" s="102" t="s">
        <v>1583</v>
      </c>
      <c r="D404" s="101"/>
      <c r="E404" s="144">
        <f>3*(2.86+2.3)-1.6</f>
        <v>13.88</v>
      </c>
      <c r="F404" s="103"/>
      <c r="G404" s="103"/>
      <c r="H404" s="103"/>
      <c r="I404" s="103"/>
      <c r="J404" s="103"/>
      <c r="K404" s="103"/>
      <c r="L404" s="199"/>
      <c r="M404" s="199"/>
      <c r="N404" s="474"/>
    </row>
    <row r="405" spans="1:14" s="189" customFormat="1" ht="12.75" hidden="1" outlineLevel="2">
      <c r="A405" s="100"/>
      <c r="B405" s="106"/>
      <c r="C405" s="102" t="s">
        <v>1584</v>
      </c>
      <c r="D405" s="101"/>
      <c r="E405" s="144">
        <f>3*(2.2+2.76)*2-1.6</f>
        <v>28.159999999999997</v>
      </c>
      <c r="F405" s="103"/>
      <c r="G405" s="103"/>
      <c r="H405" s="103"/>
      <c r="I405" s="103"/>
      <c r="J405" s="103"/>
      <c r="K405" s="103"/>
      <c r="L405" s="199"/>
      <c r="M405" s="199"/>
      <c r="N405" s="474"/>
    </row>
    <row r="406" spans="1:14" s="189" customFormat="1" ht="12.75" hidden="1" outlineLevel="2">
      <c r="A406" s="100"/>
      <c r="B406" s="106"/>
      <c r="C406" s="102" t="s">
        <v>1585</v>
      </c>
      <c r="D406" s="101"/>
      <c r="E406" s="144">
        <f>3*(3.015+2.725)-1.6</f>
        <v>15.62</v>
      </c>
      <c r="F406" s="103"/>
      <c r="G406" s="103"/>
      <c r="H406" s="103"/>
      <c r="I406" s="103"/>
      <c r="J406" s="103"/>
      <c r="K406" s="103"/>
      <c r="L406" s="199"/>
      <c r="M406" s="199"/>
      <c r="N406" s="474"/>
    </row>
    <row r="407" spans="1:14" s="189" customFormat="1" ht="12.75" hidden="1" outlineLevel="2">
      <c r="A407" s="100"/>
      <c r="B407" s="106"/>
      <c r="C407" s="102" t="s">
        <v>1586</v>
      </c>
      <c r="D407" s="101"/>
      <c r="E407" s="144">
        <f>3*(2.625+2.915)*2-1.6</f>
        <v>31.64</v>
      </c>
      <c r="F407" s="103"/>
      <c r="G407" s="103"/>
      <c r="H407" s="103"/>
      <c r="I407" s="103"/>
      <c r="J407" s="103"/>
      <c r="K407" s="103"/>
      <c r="L407" s="199"/>
      <c r="M407" s="199"/>
      <c r="N407" s="474"/>
    </row>
    <row r="408" spans="1:14" s="189" customFormat="1" ht="12.75" hidden="1" outlineLevel="2">
      <c r="A408" s="100"/>
      <c r="B408" s="106"/>
      <c r="C408" s="102" t="s">
        <v>1587</v>
      </c>
      <c r="D408" s="101"/>
      <c r="E408" s="144">
        <f>3*(2.2+3.25)*2-1.6</f>
        <v>31.1</v>
      </c>
      <c r="F408" s="103"/>
      <c r="G408" s="103"/>
      <c r="H408" s="103"/>
      <c r="I408" s="103"/>
      <c r="J408" s="103"/>
      <c r="K408" s="103"/>
      <c r="L408" s="199"/>
      <c r="M408" s="199"/>
      <c r="N408" s="474"/>
    </row>
    <row r="409" spans="1:14" s="189" customFormat="1" ht="12.75" hidden="1" outlineLevel="2">
      <c r="A409" s="100"/>
      <c r="B409" s="106"/>
      <c r="C409" s="102" t="s">
        <v>1588</v>
      </c>
      <c r="D409" s="101"/>
      <c r="E409" s="144">
        <f>3*(2.3+3.325+2.3)-1.6</f>
        <v>22.174999999999997</v>
      </c>
      <c r="F409" s="103"/>
      <c r="G409" s="103"/>
      <c r="H409" s="103"/>
      <c r="I409" s="103"/>
      <c r="J409" s="103"/>
      <c r="K409" s="103"/>
      <c r="L409" s="199"/>
      <c r="M409" s="199"/>
      <c r="N409" s="474"/>
    </row>
    <row r="410" spans="1:14" s="189" customFormat="1" ht="12.75" hidden="1" outlineLevel="2">
      <c r="A410" s="100"/>
      <c r="B410" s="106"/>
      <c r="C410" s="102" t="s">
        <v>1589</v>
      </c>
      <c r="D410" s="101"/>
      <c r="E410" s="144">
        <f>3*(2.2+2.5)*2-1.8</f>
        <v>26.400000000000002</v>
      </c>
      <c r="F410" s="103"/>
      <c r="G410" s="103"/>
      <c r="H410" s="103"/>
      <c r="I410" s="103"/>
      <c r="J410" s="103"/>
      <c r="K410" s="103"/>
      <c r="L410" s="199"/>
      <c r="M410" s="199"/>
      <c r="N410" s="474"/>
    </row>
    <row r="411" spans="1:14" s="189" customFormat="1" ht="12.75" hidden="1" outlineLevel="2">
      <c r="A411" s="100"/>
      <c r="B411" s="106"/>
      <c r="C411" s="102" t="s">
        <v>1590</v>
      </c>
      <c r="D411" s="101"/>
      <c r="E411" s="144">
        <f>3*(2.86+2.3+2.3+2.6)-1.8-1.6</f>
        <v>26.779999999999998</v>
      </c>
      <c r="F411" s="103"/>
      <c r="G411" s="103"/>
      <c r="H411" s="103"/>
      <c r="I411" s="103"/>
      <c r="J411" s="103"/>
      <c r="K411" s="103"/>
      <c r="L411" s="199"/>
      <c r="M411" s="199"/>
      <c r="N411" s="474"/>
    </row>
    <row r="412" spans="1:14" s="189" customFormat="1" ht="12.75" hidden="1" outlineLevel="2">
      <c r="A412" s="100"/>
      <c r="B412" s="106"/>
      <c r="C412" s="102" t="s">
        <v>1591</v>
      </c>
      <c r="D412" s="101"/>
      <c r="E412" s="144">
        <f>3*(2.2+2.76)*2-1.6</f>
        <v>28.159999999999997</v>
      </c>
      <c r="F412" s="103"/>
      <c r="G412" s="103"/>
      <c r="H412" s="103"/>
      <c r="I412" s="103"/>
      <c r="J412" s="103"/>
      <c r="K412" s="103"/>
      <c r="L412" s="199"/>
      <c r="M412" s="199"/>
      <c r="N412" s="474"/>
    </row>
    <row r="413" spans="1:14" s="189" customFormat="1" ht="12.75" hidden="1" outlineLevel="2">
      <c r="A413" s="100"/>
      <c r="B413" s="106"/>
      <c r="C413" s="102" t="s">
        <v>1592</v>
      </c>
      <c r="D413" s="101"/>
      <c r="E413" s="144">
        <f>3*(2.2+2.45)*2-1.6</f>
        <v>26.3</v>
      </c>
      <c r="F413" s="103"/>
      <c r="G413" s="103"/>
      <c r="H413" s="103"/>
      <c r="I413" s="103"/>
      <c r="J413" s="103"/>
      <c r="K413" s="103"/>
      <c r="L413" s="199"/>
      <c r="M413" s="199"/>
      <c r="N413" s="474"/>
    </row>
    <row r="414" spans="1:14" s="189" customFormat="1" ht="12.75" hidden="1" outlineLevel="2">
      <c r="A414" s="100"/>
      <c r="B414" s="106"/>
      <c r="C414" s="102" t="s">
        <v>1593</v>
      </c>
      <c r="D414" s="101"/>
      <c r="E414" s="144">
        <f>3*(2.3+2.55)-1.6</f>
        <v>12.95</v>
      </c>
      <c r="F414" s="103"/>
      <c r="G414" s="103"/>
      <c r="H414" s="103"/>
      <c r="I414" s="103"/>
      <c r="J414" s="103"/>
      <c r="K414" s="103"/>
      <c r="L414" s="199"/>
      <c r="M414" s="199"/>
      <c r="N414" s="474"/>
    </row>
    <row r="415" spans="1:14" s="189" customFormat="1" ht="12.75" hidden="1" outlineLevel="2">
      <c r="A415" s="100"/>
      <c r="B415" s="106"/>
      <c r="C415" s="102" t="s">
        <v>596</v>
      </c>
      <c r="D415" s="101"/>
      <c r="E415" s="144"/>
      <c r="F415" s="103"/>
      <c r="G415" s="103"/>
      <c r="H415" s="103"/>
      <c r="I415" s="103"/>
      <c r="J415" s="103"/>
      <c r="K415" s="103"/>
      <c r="L415" s="199"/>
      <c r="M415" s="199"/>
      <c r="N415" s="474"/>
    </row>
    <row r="416" spans="1:14" s="189" customFormat="1" ht="12.75" hidden="1" outlineLevel="2">
      <c r="A416" s="100"/>
      <c r="B416" s="106"/>
      <c r="C416" s="102" t="s">
        <v>1500</v>
      </c>
      <c r="D416" s="101"/>
      <c r="E416" s="144">
        <f>SUM(E363:E415)</f>
        <v>1054.95</v>
      </c>
      <c r="F416" s="103"/>
      <c r="G416" s="103"/>
      <c r="H416" s="103"/>
      <c r="I416" s="103"/>
      <c r="J416" s="103"/>
      <c r="K416" s="103"/>
      <c r="L416" s="199"/>
      <c r="M416" s="199"/>
      <c r="N416" s="474"/>
    </row>
    <row r="417" spans="1:14" s="189" customFormat="1" ht="12.75" hidden="1" outlineLevel="2">
      <c r="A417" s="100"/>
      <c r="B417" s="106"/>
      <c r="C417" s="102" t="s">
        <v>597</v>
      </c>
      <c r="D417" s="101"/>
      <c r="E417" s="144"/>
      <c r="F417" s="103"/>
      <c r="G417" s="103"/>
      <c r="H417" s="103"/>
      <c r="I417" s="103"/>
      <c r="J417" s="103"/>
      <c r="K417" s="103"/>
      <c r="L417" s="199"/>
      <c r="M417" s="199"/>
      <c r="N417" s="474"/>
    </row>
    <row r="418" spans="1:14" s="189" customFormat="1" ht="12.75" hidden="1" outlineLevel="2">
      <c r="A418" s="100"/>
      <c r="B418" s="106"/>
      <c r="C418" s="102" t="s">
        <v>1595</v>
      </c>
      <c r="D418" s="101"/>
      <c r="E418" s="144">
        <f>2.6*3.4-1.8</f>
        <v>7.04</v>
      </c>
      <c r="F418" s="103"/>
      <c r="G418" s="103"/>
      <c r="H418" s="103"/>
      <c r="I418" s="103"/>
      <c r="J418" s="103"/>
      <c r="K418" s="103"/>
      <c r="L418" s="199"/>
      <c r="M418" s="199"/>
      <c r="N418" s="474"/>
    </row>
    <row r="419" spans="1:14" s="189" customFormat="1" ht="12.75" hidden="1" outlineLevel="2">
      <c r="A419" s="100"/>
      <c r="B419" s="106"/>
      <c r="C419" s="102" t="s">
        <v>1596</v>
      </c>
      <c r="D419" s="101"/>
      <c r="E419" s="144">
        <f>2.6*(2.97+1.3*2)-1.8*2-1.6</f>
        <v>9.282000000000002</v>
      </c>
      <c r="F419" s="103"/>
      <c r="G419" s="103"/>
      <c r="H419" s="103"/>
      <c r="I419" s="103"/>
      <c r="J419" s="103"/>
      <c r="K419" s="103"/>
      <c r="L419" s="199"/>
      <c r="M419" s="199"/>
      <c r="N419" s="474"/>
    </row>
    <row r="420" spans="1:14" s="189" customFormat="1" ht="12.75" hidden="1" outlineLevel="2">
      <c r="A420" s="100"/>
      <c r="B420" s="106"/>
      <c r="C420" s="102" t="s">
        <v>1597</v>
      </c>
      <c r="D420" s="101"/>
      <c r="E420" s="144">
        <f>2.6*(2.97+2)*2-1.6</f>
        <v>24.244000000000003</v>
      </c>
      <c r="F420" s="103"/>
      <c r="G420" s="103"/>
      <c r="H420" s="103"/>
      <c r="I420" s="103"/>
      <c r="J420" s="103"/>
      <c r="K420" s="103"/>
      <c r="L420" s="199"/>
      <c r="M420" s="199"/>
      <c r="N420" s="474"/>
    </row>
    <row r="421" spans="1:14" s="189" customFormat="1" ht="12.75" hidden="1" outlineLevel="2">
      <c r="A421" s="100"/>
      <c r="B421" s="106"/>
      <c r="C421" s="102" t="s">
        <v>1598</v>
      </c>
      <c r="D421" s="101"/>
      <c r="E421" s="144">
        <f>2.6*3.4-1.8</f>
        <v>7.04</v>
      </c>
      <c r="F421" s="103"/>
      <c r="G421" s="103"/>
      <c r="H421" s="103"/>
      <c r="I421" s="103"/>
      <c r="J421" s="103"/>
      <c r="K421" s="103"/>
      <c r="L421" s="199"/>
      <c r="M421" s="199"/>
      <c r="N421" s="474"/>
    </row>
    <row r="422" spans="1:14" s="189" customFormat="1" ht="12.75" hidden="1" outlineLevel="2">
      <c r="A422" s="100"/>
      <c r="B422" s="106"/>
      <c r="C422" s="102" t="s">
        <v>1599</v>
      </c>
      <c r="D422" s="101"/>
      <c r="E422" s="144">
        <f>2.6*3.4-1.8</f>
        <v>7.04</v>
      </c>
      <c r="F422" s="103"/>
      <c r="G422" s="103"/>
      <c r="H422" s="103"/>
      <c r="I422" s="103"/>
      <c r="J422" s="103"/>
      <c r="K422" s="103"/>
      <c r="L422" s="199"/>
      <c r="M422" s="199"/>
      <c r="N422" s="474"/>
    </row>
    <row r="423" spans="1:14" s="189" customFormat="1" ht="12.75" hidden="1" outlineLevel="2">
      <c r="A423" s="100"/>
      <c r="B423" s="106"/>
      <c r="C423" s="102" t="s">
        <v>1600</v>
      </c>
      <c r="D423" s="101"/>
      <c r="E423" s="144">
        <f>2.6*(3.8+2*1.3)-1.6-2*1.8</f>
        <v>11.440000000000001</v>
      </c>
      <c r="F423" s="103"/>
      <c r="G423" s="103"/>
      <c r="H423" s="103"/>
      <c r="I423" s="103"/>
      <c r="J423" s="103"/>
      <c r="K423" s="103"/>
      <c r="L423" s="199"/>
      <c r="M423" s="199"/>
      <c r="N423" s="474"/>
    </row>
    <row r="424" spans="1:14" s="189" customFormat="1" ht="12.75" hidden="1" outlineLevel="2">
      <c r="A424" s="100"/>
      <c r="B424" s="106"/>
      <c r="C424" s="102" t="s">
        <v>1601</v>
      </c>
      <c r="D424" s="101"/>
      <c r="E424" s="144">
        <f>2.6*(3.8+2)*2-1.6</f>
        <v>28.56</v>
      </c>
      <c r="F424" s="103"/>
      <c r="G424" s="103"/>
      <c r="H424" s="103"/>
      <c r="I424" s="103"/>
      <c r="J424" s="103"/>
      <c r="K424" s="103"/>
      <c r="L424" s="199"/>
      <c r="M424" s="199"/>
      <c r="N424" s="474"/>
    </row>
    <row r="425" spans="1:14" s="189" customFormat="1" ht="12.75" hidden="1" outlineLevel="2">
      <c r="A425" s="100"/>
      <c r="B425" s="106"/>
      <c r="C425" s="102" t="s">
        <v>1602</v>
      </c>
      <c r="D425" s="101"/>
      <c r="E425" s="144">
        <f>2.6*3.4*2-1.8</f>
        <v>15.879999999999999</v>
      </c>
      <c r="F425" s="103"/>
      <c r="G425" s="103"/>
      <c r="H425" s="103"/>
      <c r="I425" s="103"/>
      <c r="J425" s="103"/>
      <c r="K425" s="103"/>
      <c r="L425" s="199"/>
      <c r="M425" s="199"/>
      <c r="N425" s="474"/>
    </row>
    <row r="426" spans="1:14" s="189" customFormat="1" ht="12.75" hidden="1" outlineLevel="2">
      <c r="A426" s="100"/>
      <c r="B426" s="106"/>
      <c r="C426" s="102" t="s">
        <v>1603</v>
      </c>
      <c r="D426" s="101"/>
      <c r="E426" s="144">
        <f>2.6*3.4</f>
        <v>8.84</v>
      </c>
      <c r="F426" s="103"/>
      <c r="G426" s="103"/>
      <c r="H426" s="103"/>
      <c r="I426" s="103"/>
      <c r="J426" s="103"/>
      <c r="K426" s="103"/>
      <c r="L426" s="199"/>
      <c r="M426" s="199"/>
      <c r="N426" s="474"/>
    </row>
    <row r="427" spans="1:14" s="189" customFormat="1" ht="12.75" hidden="1" outlineLevel="2">
      <c r="A427" s="100"/>
      <c r="B427" s="106"/>
      <c r="C427" s="102" t="s">
        <v>1604</v>
      </c>
      <c r="D427" s="101"/>
      <c r="E427" s="144">
        <f>2.6*(3.25)-1.6*2.1</f>
        <v>5.090000000000001</v>
      </c>
      <c r="F427" s="103"/>
      <c r="G427" s="103"/>
      <c r="H427" s="103"/>
      <c r="I427" s="103"/>
      <c r="J427" s="103"/>
      <c r="K427" s="103"/>
      <c r="L427" s="199"/>
      <c r="M427" s="199"/>
      <c r="N427" s="474"/>
    </row>
    <row r="428" spans="1:14" s="189" customFormat="1" ht="12.75" hidden="1" outlineLevel="2">
      <c r="A428" s="100"/>
      <c r="B428" s="106"/>
      <c r="C428" s="102" t="s">
        <v>1605</v>
      </c>
      <c r="D428" s="101"/>
      <c r="E428" s="144">
        <f>2.6*(1.98+2.2)*2-1.6</f>
        <v>20.136</v>
      </c>
      <c r="F428" s="103"/>
      <c r="G428" s="103"/>
      <c r="H428" s="103"/>
      <c r="I428" s="103"/>
      <c r="J428" s="103"/>
      <c r="K428" s="103"/>
      <c r="L428" s="199"/>
      <c r="M428" s="199"/>
      <c r="N428" s="474"/>
    </row>
    <row r="429" spans="1:14" s="189" customFormat="1" ht="12.75" hidden="1" outlineLevel="2">
      <c r="A429" s="100"/>
      <c r="B429" s="106"/>
      <c r="C429" s="102" t="s">
        <v>1606</v>
      </c>
      <c r="D429" s="101"/>
      <c r="E429" s="144">
        <f>2.6*(2.5+2.3)-1.6</f>
        <v>10.88</v>
      </c>
      <c r="F429" s="103"/>
      <c r="G429" s="103"/>
      <c r="H429" s="103"/>
      <c r="I429" s="103"/>
      <c r="J429" s="103"/>
      <c r="K429" s="103"/>
      <c r="L429" s="199"/>
      <c r="M429" s="199"/>
      <c r="N429" s="474"/>
    </row>
    <row r="430" spans="1:14" s="189" customFormat="1" ht="12.75" hidden="1" outlineLevel="2">
      <c r="A430" s="100"/>
      <c r="B430" s="106"/>
      <c r="C430" s="102" t="s">
        <v>1607</v>
      </c>
      <c r="D430" s="101"/>
      <c r="E430" s="144">
        <f>2.6*(2.68+2.2)*2-1.6</f>
        <v>23.776000000000003</v>
      </c>
      <c r="F430" s="103"/>
      <c r="G430" s="103"/>
      <c r="H430" s="103"/>
      <c r="I430" s="103"/>
      <c r="J430" s="103"/>
      <c r="K430" s="103"/>
      <c r="L430" s="199"/>
      <c r="M430" s="199"/>
      <c r="N430" s="474"/>
    </row>
    <row r="431" spans="1:14" s="189" customFormat="1" ht="12.75" hidden="1" outlineLevel="2">
      <c r="A431" s="100"/>
      <c r="B431" s="106"/>
      <c r="C431" s="102" t="s">
        <v>1608</v>
      </c>
      <c r="D431" s="101"/>
      <c r="E431" s="144">
        <f>2.6*(3.1+2.3)-1.6</f>
        <v>12.440000000000001</v>
      </c>
      <c r="F431" s="103"/>
      <c r="G431" s="103"/>
      <c r="H431" s="103"/>
      <c r="I431" s="103"/>
      <c r="J431" s="103"/>
      <c r="K431" s="103"/>
      <c r="L431" s="199"/>
      <c r="M431" s="199"/>
      <c r="N431" s="474"/>
    </row>
    <row r="432" spans="1:14" s="189" customFormat="1" ht="12.75" hidden="1" outlineLevel="2">
      <c r="A432" s="100"/>
      <c r="B432" s="106"/>
      <c r="C432" s="102" t="s">
        <v>1609</v>
      </c>
      <c r="D432" s="101"/>
      <c r="E432" s="144">
        <f>2.6*(2.2+2.95)*2-1.6</f>
        <v>25.18</v>
      </c>
      <c r="F432" s="103"/>
      <c r="G432" s="103"/>
      <c r="H432" s="103"/>
      <c r="I432" s="103"/>
      <c r="J432" s="103"/>
      <c r="K432" s="103"/>
      <c r="L432" s="199"/>
      <c r="M432" s="199"/>
      <c r="N432" s="474"/>
    </row>
    <row r="433" spans="1:14" s="189" customFormat="1" ht="12.75" hidden="1" outlineLevel="2">
      <c r="A433" s="100"/>
      <c r="B433" s="106"/>
      <c r="C433" s="102" t="s">
        <v>1610</v>
      </c>
      <c r="D433" s="101"/>
      <c r="E433" s="144">
        <f>2.6*(2.3+3.025)-1.6</f>
        <v>12.245</v>
      </c>
      <c r="F433" s="103"/>
      <c r="G433" s="103"/>
      <c r="H433" s="103"/>
      <c r="I433" s="103"/>
      <c r="J433" s="103"/>
      <c r="K433" s="103"/>
      <c r="L433" s="199"/>
      <c r="M433" s="199"/>
      <c r="N433" s="474"/>
    </row>
    <row r="434" spans="1:14" s="189" customFormat="1" ht="12.75" hidden="1" outlineLevel="2">
      <c r="A434" s="100"/>
      <c r="B434" s="106"/>
      <c r="C434" s="102" t="s">
        <v>1611</v>
      </c>
      <c r="D434" s="101"/>
      <c r="E434" s="144">
        <f>2.6*(2.2+2.58)*2-1.6</f>
        <v>23.256</v>
      </c>
      <c r="F434" s="103"/>
      <c r="G434" s="103"/>
      <c r="H434" s="103"/>
      <c r="I434" s="103"/>
      <c r="J434" s="103"/>
      <c r="K434" s="103"/>
      <c r="L434" s="199"/>
      <c r="M434" s="199"/>
      <c r="N434" s="474"/>
    </row>
    <row r="435" spans="1:14" s="189" customFormat="1" ht="12.75" hidden="1" outlineLevel="2">
      <c r="A435" s="100"/>
      <c r="B435" s="106"/>
      <c r="C435" s="102" t="s">
        <v>1612</v>
      </c>
      <c r="D435" s="101"/>
      <c r="E435" s="144">
        <f>2.6*(3.1+2.3)-1.6</f>
        <v>12.440000000000001</v>
      </c>
      <c r="F435" s="103"/>
      <c r="G435" s="103"/>
      <c r="H435" s="103"/>
      <c r="I435" s="103"/>
      <c r="J435" s="103"/>
      <c r="K435" s="103"/>
      <c r="L435" s="199"/>
      <c r="M435" s="199"/>
      <c r="N435" s="474"/>
    </row>
    <row r="436" spans="1:14" s="189" customFormat="1" ht="12.75" hidden="1" outlineLevel="2">
      <c r="A436" s="100"/>
      <c r="B436" s="106"/>
      <c r="C436" s="102" t="s">
        <v>1613</v>
      </c>
      <c r="D436" s="101"/>
      <c r="E436" s="144">
        <f>2.6*(3+2.3)-1.6</f>
        <v>12.18</v>
      </c>
      <c r="F436" s="103"/>
      <c r="G436" s="103"/>
      <c r="H436" s="103"/>
      <c r="I436" s="103"/>
      <c r="J436" s="103"/>
      <c r="K436" s="103"/>
      <c r="L436" s="199"/>
      <c r="M436" s="199"/>
      <c r="N436" s="474"/>
    </row>
    <row r="437" spans="1:14" s="189" customFormat="1" ht="12.75" hidden="1" outlineLevel="2">
      <c r="A437" s="100"/>
      <c r="B437" s="106"/>
      <c r="C437" s="102" t="s">
        <v>1614</v>
      </c>
      <c r="D437" s="101"/>
      <c r="E437" s="144">
        <f>2.6*(2.3+3)*2-1.6</f>
        <v>25.959999999999997</v>
      </c>
      <c r="F437" s="103"/>
      <c r="G437" s="103"/>
      <c r="H437" s="103"/>
      <c r="I437" s="103"/>
      <c r="J437" s="103"/>
      <c r="K437" s="103"/>
      <c r="L437" s="199"/>
      <c r="M437" s="199"/>
      <c r="N437" s="474"/>
    </row>
    <row r="438" spans="1:14" s="189" customFormat="1" ht="12.75" hidden="1" outlineLevel="2">
      <c r="A438" s="100"/>
      <c r="B438" s="106"/>
      <c r="C438" s="102" t="s">
        <v>1615</v>
      </c>
      <c r="D438" s="101"/>
      <c r="E438" s="144">
        <f>2.6*(2.2+2.48)*2-1.6</f>
        <v>22.735999999999997</v>
      </c>
      <c r="F438" s="103"/>
      <c r="G438" s="103"/>
      <c r="H438" s="103"/>
      <c r="I438" s="103"/>
      <c r="J438" s="103"/>
      <c r="K438" s="103"/>
      <c r="L438" s="199"/>
      <c r="M438" s="199"/>
      <c r="N438" s="474"/>
    </row>
    <row r="439" spans="1:14" s="189" customFormat="1" ht="12.75" hidden="1" outlineLevel="2">
      <c r="A439" s="100"/>
      <c r="B439" s="106"/>
      <c r="C439" s="102" t="s">
        <v>1616</v>
      </c>
      <c r="D439" s="101"/>
      <c r="E439" s="144">
        <f>2.6*(2.3+3)-1.6+3*6</f>
        <v>30.18</v>
      </c>
      <c r="F439" s="103"/>
      <c r="G439" s="103"/>
      <c r="H439" s="103"/>
      <c r="I439" s="103"/>
      <c r="J439" s="103"/>
      <c r="K439" s="103"/>
      <c r="L439" s="199"/>
      <c r="M439" s="199"/>
      <c r="N439" s="474"/>
    </row>
    <row r="440" spans="1:14" s="189" customFormat="1" ht="12.75" hidden="1" outlineLevel="2">
      <c r="A440" s="100"/>
      <c r="B440" s="106"/>
      <c r="C440" s="102" t="s">
        <v>1617</v>
      </c>
      <c r="D440" s="101"/>
      <c r="E440" s="144">
        <f>2.6*6+3*(2.465+2.3)-1.6+2.6*(2.3+0.98)-1.6</f>
        <v>35.223</v>
      </c>
      <c r="F440" s="103"/>
      <c r="G440" s="103"/>
      <c r="H440" s="103"/>
      <c r="I440" s="103"/>
      <c r="J440" s="103"/>
      <c r="K440" s="103"/>
      <c r="L440" s="199"/>
      <c r="M440" s="199"/>
      <c r="N440" s="474"/>
    </row>
    <row r="441" spans="1:14" s="189" customFormat="1" ht="12.75" hidden="1" outlineLevel="2">
      <c r="A441" s="100"/>
      <c r="B441" s="106"/>
      <c r="C441" s="102" t="s">
        <v>1618</v>
      </c>
      <c r="D441" s="101"/>
      <c r="E441" s="144">
        <f>2.6*(3+2.2)*2-1.6</f>
        <v>25.44</v>
      </c>
      <c r="F441" s="103"/>
      <c r="G441" s="103"/>
      <c r="H441" s="103"/>
      <c r="I441" s="103"/>
      <c r="J441" s="103"/>
      <c r="K441" s="103"/>
      <c r="L441" s="199"/>
      <c r="M441" s="199"/>
      <c r="N441" s="474"/>
    </row>
    <row r="442" spans="1:14" s="189" customFormat="1" ht="12.75" hidden="1" outlineLevel="2">
      <c r="A442" s="100"/>
      <c r="B442" s="106"/>
      <c r="C442" s="102" t="s">
        <v>1619</v>
      </c>
      <c r="D442" s="101"/>
      <c r="E442" s="144">
        <f>2.6*(2.43+2.2)*2-1.6</f>
        <v>22.476000000000003</v>
      </c>
      <c r="F442" s="103"/>
      <c r="G442" s="103"/>
      <c r="H442" s="103"/>
      <c r="I442" s="103"/>
      <c r="J442" s="103"/>
      <c r="K442" s="103"/>
      <c r="L442" s="199"/>
      <c r="M442" s="199"/>
      <c r="N442" s="474"/>
    </row>
    <row r="443" spans="1:14" s="189" customFormat="1" ht="12.75" hidden="1" outlineLevel="2">
      <c r="A443" s="100"/>
      <c r="B443" s="106"/>
      <c r="C443" s="102" t="s">
        <v>1620</v>
      </c>
      <c r="D443" s="101"/>
      <c r="E443" s="144">
        <f>2.6*(1.975+0.15+2.85+0.1+2.3)-1.6</f>
        <v>17.574999999999996</v>
      </c>
      <c r="F443" s="103"/>
      <c r="G443" s="103"/>
      <c r="H443" s="103"/>
      <c r="I443" s="103"/>
      <c r="J443" s="103"/>
      <c r="K443" s="103"/>
      <c r="L443" s="199"/>
      <c r="M443" s="199"/>
      <c r="N443" s="474"/>
    </row>
    <row r="444" spans="1:14" s="189" customFormat="1" ht="12.75" hidden="1" outlineLevel="2">
      <c r="A444" s="100"/>
      <c r="B444" s="106"/>
      <c r="C444" s="102" t="s">
        <v>1621</v>
      </c>
      <c r="D444" s="101"/>
      <c r="E444" s="144">
        <f>2.6*6-2*1.6*2.1</f>
        <v>8.88</v>
      </c>
      <c r="F444" s="103"/>
      <c r="G444" s="103"/>
      <c r="H444" s="103"/>
      <c r="I444" s="103"/>
      <c r="J444" s="103"/>
      <c r="K444" s="103"/>
      <c r="L444" s="199"/>
      <c r="M444" s="199"/>
      <c r="N444" s="474"/>
    </row>
    <row r="445" spans="1:14" s="189" customFormat="1" ht="12.75" hidden="1" outlineLevel="2">
      <c r="A445" s="100"/>
      <c r="B445" s="106"/>
      <c r="C445" s="102" t="s">
        <v>1622</v>
      </c>
      <c r="D445" s="101"/>
      <c r="E445" s="144">
        <f>2.6*(3.15+1.665+0.8+2.575)-1.4</f>
        <v>19.894000000000002</v>
      </c>
      <c r="F445" s="103"/>
      <c r="G445" s="103"/>
      <c r="H445" s="103"/>
      <c r="I445" s="103"/>
      <c r="J445" s="103"/>
      <c r="K445" s="103"/>
      <c r="L445" s="199"/>
      <c r="M445" s="199"/>
      <c r="N445" s="474"/>
    </row>
    <row r="446" spans="1:14" s="189" customFormat="1" ht="12.75" hidden="1" outlineLevel="2">
      <c r="A446" s="100"/>
      <c r="B446" s="106"/>
      <c r="C446" s="102" t="s">
        <v>1623</v>
      </c>
      <c r="D446" s="101"/>
      <c r="E446" s="144">
        <f>2.6*(3.15+0.6+0.15)</f>
        <v>10.14</v>
      </c>
      <c r="F446" s="103"/>
      <c r="G446" s="103"/>
      <c r="H446" s="103"/>
      <c r="I446" s="103"/>
      <c r="J446" s="103"/>
      <c r="K446" s="103"/>
      <c r="L446" s="199"/>
      <c r="M446" s="199"/>
      <c r="N446" s="474"/>
    </row>
    <row r="447" spans="1:14" s="189" customFormat="1" ht="12.75" hidden="1" outlineLevel="2">
      <c r="A447" s="100"/>
      <c r="B447" s="106"/>
      <c r="C447" s="102" t="s">
        <v>1624</v>
      </c>
      <c r="D447" s="101"/>
      <c r="E447" s="144">
        <f>2.6*(6)-1.8</f>
        <v>13.8</v>
      </c>
      <c r="F447" s="103"/>
      <c r="G447" s="103"/>
      <c r="H447" s="103"/>
      <c r="I447" s="103"/>
      <c r="J447" s="103"/>
      <c r="K447" s="103"/>
      <c r="L447" s="199"/>
      <c r="M447" s="199"/>
      <c r="N447" s="474"/>
    </row>
    <row r="448" spans="1:14" s="189" customFormat="1" ht="12.75" hidden="1" outlineLevel="2">
      <c r="A448" s="100"/>
      <c r="B448" s="106"/>
      <c r="C448" s="102" t="s">
        <v>1625</v>
      </c>
      <c r="D448" s="101"/>
      <c r="E448" s="144">
        <f>2.6*3.35*2</f>
        <v>17.42</v>
      </c>
      <c r="F448" s="103"/>
      <c r="G448" s="103"/>
      <c r="H448" s="103"/>
      <c r="I448" s="103"/>
      <c r="J448" s="103"/>
      <c r="K448" s="103"/>
      <c r="L448" s="199"/>
      <c r="M448" s="199"/>
      <c r="N448" s="474"/>
    </row>
    <row r="449" spans="1:14" s="189" customFormat="1" ht="12.75" hidden="1" outlineLevel="2">
      <c r="A449" s="100"/>
      <c r="B449" s="106"/>
      <c r="C449" s="102" t="s">
        <v>1626</v>
      </c>
      <c r="D449" s="101"/>
      <c r="E449" s="144">
        <f>2.6*(1.5+1.225)*2-1.4</f>
        <v>12.770000000000001</v>
      </c>
      <c r="F449" s="103"/>
      <c r="G449" s="103"/>
      <c r="H449" s="103"/>
      <c r="I449" s="103"/>
      <c r="J449" s="103"/>
      <c r="K449" s="103"/>
      <c r="L449" s="199"/>
      <c r="M449" s="199"/>
      <c r="N449" s="474"/>
    </row>
    <row r="450" spans="1:14" s="189" customFormat="1" ht="12.75" hidden="1" outlineLevel="2">
      <c r="A450" s="100"/>
      <c r="B450" s="106"/>
      <c r="C450" s="102" t="s">
        <v>1627</v>
      </c>
      <c r="D450" s="101"/>
      <c r="E450" s="144">
        <f>2.6*(3.125+1.85+1.325+1.5+1.8+3.335)-1.8</f>
        <v>31.831</v>
      </c>
      <c r="F450" s="103"/>
      <c r="G450" s="103"/>
      <c r="H450" s="103"/>
      <c r="I450" s="103"/>
      <c r="J450" s="103"/>
      <c r="K450" s="103"/>
      <c r="L450" s="199"/>
      <c r="M450" s="199"/>
      <c r="N450" s="474"/>
    </row>
    <row r="451" spans="1:14" s="189" customFormat="1" ht="12.75" hidden="1" outlineLevel="2">
      <c r="A451" s="100"/>
      <c r="B451" s="106"/>
      <c r="C451" s="102" t="s">
        <v>1628</v>
      </c>
      <c r="D451" s="101"/>
      <c r="E451" s="144">
        <f>2.6*3.35-1.8</f>
        <v>6.910000000000001</v>
      </c>
      <c r="F451" s="103"/>
      <c r="G451" s="103"/>
      <c r="H451" s="103"/>
      <c r="I451" s="103"/>
      <c r="J451" s="103"/>
      <c r="K451" s="103"/>
      <c r="L451" s="199"/>
      <c r="M451" s="199"/>
      <c r="N451" s="474"/>
    </row>
    <row r="452" spans="1:14" s="189" customFormat="1" ht="12.75" hidden="1" outlineLevel="2">
      <c r="A452" s="100"/>
      <c r="B452" s="106"/>
      <c r="C452" s="102" t="s">
        <v>1630</v>
      </c>
      <c r="D452" s="101"/>
      <c r="E452" s="144">
        <f>2.6*(3+2)*2-1.6</f>
        <v>24.4</v>
      </c>
      <c r="F452" s="103"/>
      <c r="G452" s="103"/>
      <c r="H452" s="103"/>
      <c r="I452" s="103"/>
      <c r="J452" s="103"/>
      <c r="K452" s="103"/>
      <c r="L452" s="199"/>
      <c r="M452" s="199"/>
      <c r="N452" s="474"/>
    </row>
    <row r="453" spans="1:14" s="189" customFormat="1" ht="12.75" hidden="1" outlineLevel="2">
      <c r="A453" s="100"/>
      <c r="B453" s="106"/>
      <c r="C453" s="102" t="s">
        <v>1629</v>
      </c>
      <c r="D453" s="101"/>
      <c r="E453" s="144">
        <f>2.6*(3+1.3*2)-1.6-2*1.8</f>
        <v>9.36</v>
      </c>
      <c r="F453" s="103"/>
      <c r="G453" s="103"/>
      <c r="H453" s="103"/>
      <c r="I453" s="103"/>
      <c r="J453" s="103"/>
      <c r="K453" s="103"/>
      <c r="L453" s="199"/>
      <c r="M453" s="199"/>
      <c r="N453" s="474"/>
    </row>
    <row r="454" spans="1:14" s="189" customFormat="1" ht="12.75" hidden="1" outlineLevel="2">
      <c r="A454" s="100"/>
      <c r="B454" s="106"/>
      <c r="C454" s="102" t="s">
        <v>1631</v>
      </c>
      <c r="D454" s="101"/>
      <c r="E454" s="144">
        <f>2.6*3.35-1.8</f>
        <v>6.910000000000001</v>
      </c>
      <c r="F454" s="103"/>
      <c r="G454" s="103"/>
      <c r="H454" s="103"/>
      <c r="I454" s="103"/>
      <c r="J454" s="103"/>
      <c r="K454" s="103"/>
      <c r="L454" s="199"/>
      <c r="M454" s="199"/>
      <c r="N454" s="474"/>
    </row>
    <row r="455" spans="1:14" s="189" customFormat="1" ht="12.75" hidden="1" outlineLevel="2">
      <c r="A455" s="100"/>
      <c r="B455" s="106"/>
      <c r="C455" s="102" t="s">
        <v>1632</v>
      </c>
      <c r="D455" s="101"/>
      <c r="E455" s="144">
        <f>2.6*3.35-1.8</f>
        <v>6.910000000000001</v>
      </c>
      <c r="F455" s="103"/>
      <c r="G455" s="103"/>
      <c r="H455" s="103"/>
      <c r="I455" s="103"/>
      <c r="J455" s="103"/>
      <c r="K455" s="103"/>
      <c r="L455" s="199"/>
      <c r="M455" s="199"/>
      <c r="N455" s="474"/>
    </row>
    <row r="456" spans="1:14" s="189" customFormat="1" ht="12.75" hidden="1" outlineLevel="2">
      <c r="A456" s="100"/>
      <c r="B456" s="106"/>
      <c r="C456" s="102" t="s">
        <v>1633</v>
      </c>
      <c r="D456" s="101"/>
      <c r="E456" s="144">
        <f>2.6*(3+2)*2-1.6</f>
        <v>24.4</v>
      </c>
      <c r="F456" s="103"/>
      <c r="G456" s="103"/>
      <c r="H456" s="103"/>
      <c r="I456" s="103"/>
      <c r="J456" s="103"/>
      <c r="K456" s="103"/>
      <c r="L456" s="199"/>
      <c r="M456" s="199"/>
      <c r="N456" s="474"/>
    </row>
    <row r="457" spans="1:14" s="189" customFormat="1" ht="12.75" hidden="1" outlineLevel="2">
      <c r="A457" s="100"/>
      <c r="B457" s="106"/>
      <c r="C457" s="102" t="s">
        <v>1634</v>
      </c>
      <c r="D457" s="101"/>
      <c r="E457" s="144">
        <f>2.6*(3+2*1.225)-1.6-2*1.8</f>
        <v>8.970000000000002</v>
      </c>
      <c r="F457" s="103"/>
      <c r="G457" s="103"/>
      <c r="H457" s="103"/>
      <c r="I457" s="103"/>
      <c r="J457" s="103"/>
      <c r="K457" s="103"/>
      <c r="L457" s="199"/>
      <c r="M457" s="199"/>
      <c r="N457" s="474"/>
    </row>
    <row r="458" spans="1:14" s="189" customFormat="1" ht="12.75" hidden="1" outlineLevel="2">
      <c r="A458" s="100"/>
      <c r="B458" s="106"/>
      <c r="C458" s="102" t="s">
        <v>1635</v>
      </c>
      <c r="D458" s="101"/>
      <c r="E458" s="144">
        <f>2.6*(5.05+3.325)-1.8</f>
        <v>19.975</v>
      </c>
      <c r="F458" s="103"/>
      <c r="G458" s="103"/>
      <c r="H458" s="103"/>
      <c r="I458" s="103"/>
      <c r="J458" s="103"/>
      <c r="K458" s="103"/>
      <c r="L458" s="199"/>
      <c r="M458" s="199"/>
      <c r="N458" s="474"/>
    </row>
    <row r="459" spans="1:14" s="189" customFormat="1" ht="12.75" hidden="1" outlineLevel="2">
      <c r="A459" s="100"/>
      <c r="B459" s="106"/>
      <c r="C459" s="102" t="s">
        <v>1636</v>
      </c>
      <c r="D459" s="101"/>
      <c r="E459" s="144">
        <f>2.6*(2.86+2.3)-1.6</f>
        <v>11.816</v>
      </c>
      <c r="F459" s="103"/>
      <c r="G459" s="103"/>
      <c r="H459" s="103"/>
      <c r="I459" s="103"/>
      <c r="J459" s="103"/>
      <c r="K459" s="103"/>
      <c r="L459" s="199"/>
      <c r="M459" s="199"/>
      <c r="N459" s="474"/>
    </row>
    <row r="460" spans="1:14" s="189" customFormat="1" ht="12.75" hidden="1" outlineLevel="2">
      <c r="A460" s="100"/>
      <c r="B460" s="106"/>
      <c r="C460" s="102" t="s">
        <v>1637</v>
      </c>
      <c r="D460" s="101"/>
      <c r="E460" s="144">
        <f>2.6*(2.2+2.76)*2-1.6</f>
        <v>24.192</v>
      </c>
      <c r="F460" s="103"/>
      <c r="G460" s="103"/>
      <c r="H460" s="103"/>
      <c r="I460" s="103"/>
      <c r="J460" s="103"/>
      <c r="K460" s="103"/>
      <c r="L460" s="199"/>
      <c r="M460" s="199"/>
      <c r="N460" s="474"/>
    </row>
    <row r="461" spans="1:14" s="189" customFormat="1" ht="12.75" hidden="1" outlineLevel="2">
      <c r="A461" s="100"/>
      <c r="B461" s="106"/>
      <c r="C461" s="102" t="s">
        <v>1638</v>
      </c>
      <c r="D461" s="101"/>
      <c r="E461" s="144">
        <f>2.6*(3.015+2.725)-1.6</f>
        <v>13.324000000000002</v>
      </c>
      <c r="F461" s="103"/>
      <c r="G461" s="103"/>
      <c r="H461" s="103"/>
      <c r="I461" s="103"/>
      <c r="J461" s="103"/>
      <c r="K461" s="103"/>
      <c r="L461" s="199"/>
      <c r="M461" s="199"/>
      <c r="N461" s="474"/>
    </row>
    <row r="462" spans="1:14" s="189" customFormat="1" ht="12.75" hidden="1" outlineLevel="2">
      <c r="A462" s="100"/>
      <c r="B462" s="106"/>
      <c r="C462" s="102" t="s">
        <v>1639</v>
      </c>
      <c r="D462" s="101"/>
      <c r="E462" s="144">
        <f>2.6*(2.625+2.915)*2-1.6</f>
        <v>27.208</v>
      </c>
      <c r="F462" s="103"/>
      <c r="G462" s="103"/>
      <c r="H462" s="103"/>
      <c r="I462" s="103"/>
      <c r="J462" s="103"/>
      <c r="K462" s="103"/>
      <c r="L462" s="199"/>
      <c r="M462" s="199"/>
      <c r="N462" s="474"/>
    </row>
    <row r="463" spans="1:14" s="189" customFormat="1" ht="12.75" hidden="1" outlineLevel="2">
      <c r="A463" s="100"/>
      <c r="B463" s="106"/>
      <c r="C463" s="102" t="s">
        <v>1640</v>
      </c>
      <c r="D463" s="101"/>
      <c r="E463" s="144">
        <f>2.6*(2.2+3.25)*2-1.6</f>
        <v>26.740000000000002</v>
      </c>
      <c r="F463" s="103"/>
      <c r="G463" s="103"/>
      <c r="H463" s="103"/>
      <c r="I463" s="103"/>
      <c r="J463" s="103"/>
      <c r="K463" s="103"/>
      <c r="L463" s="199"/>
      <c r="M463" s="199"/>
      <c r="N463" s="474"/>
    </row>
    <row r="464" spans="1:14" s="189" customFormat="1" ht="12.75" hidden="1" outlineLevel="2">
      <c r="A464" s="100"/>
      <c r="B464" s="106"/>
      <c r="C464" s="102" t="s">
        <v>1641</v>
      </c>
      <c r="D464" s="101"/>
      <c r="E464" s="144">
        <f>2.6*(2.3+3.325+2.3)-1.6</f>
        <v>19.005</v>
      </c>
      <c r="F464" s="103"/>
      <c r="G464" s="103"/>
      <c r="H464" s="103"/>
      <c r="I464" s="103"/>
      <c r="J464" s="103"/>
      <c r="K464" s="103"/>
      <c r="L464" s="199"/>
      <c r="M464" s="199"/>
      <c r="N464" s="474"/>
    </row>
    <row r="465" spans="1:14" s="189" customFormat="1" ht="12.75" hidden="1" outlineLevel="2">
      <c r="A465" s="100"/>
      <c r="B465" s="106"/>
      <c r="C465" s="102" t="s">
        <v>1642</v>
      </c>
      <c r="D465" s="101"/>
      <c r="E465" s="144">
        <f>2.6*(2.2+2.5)*2-1.8</f>
        <v>22.64</v>
      </c>
      <c r="F465" s="103"/>
      <c r="G465" s="103"/>
      <c r="H465" s="103"/>
      <c r="I465" s="103"/>
      <c r="J465" s="103"/>
      <c r="K465" s="103"/>
      <c r="L465" s="199"/>
      <c r="M465" s="199"/>
      <c r="N465" s="474"/>
    </row>
    <row r="466" spans="1:14" s="189" customFormat="1" ht="12.75" hidden="1" outlineLevel="2">
      <c r="A466" s="100"/>
      <c r="B466" s="106"/>
      <c r="C466" s="102" t="s">
        <v>1643</v>
      </c>
      <c r="D466" s="101"/>
      <c r="E466" s="144">
        <f>2.6*(2.86+2.3+2.3+2.6)-1.8-1.6</f>
        <v>22.756</v>
      </c>
      <c r="F466" s="103"/>
      <c r="G466" s="103"/>
      <c r="H466" s="103"/>
      <c r="I466" s="103"/>
      <c r="J466" s="103"/>
      <c r="K466" s="103"/>
      <c r="L466" s="199"/>
      <c r="M466" s="199"/>
      <c r="N466" s="474"/>
    </row>
    <row r="467" spans="1:14" s="189" customFormat="1" ht="12.75" hidden="1" outlineLevel="2">
      <c r="A467" s="100"/>
      <c r="B467" s="106"/>
      <c r="C467" s="102" t="s">
        <v>1644</v>
      </c>
      <c r="D467" s="101"/>
      <c r="E467" s="144">
        <f>2.6*(2.2+2.76)*2-1.6</f>
        <v>24.192</v>
      </c>
      <c r="F467" s="103"/>
      <c r="G467" s="103"/>
      <c r="H467" s="103"/>
      <c r="I467" s="103"/>
      <c r="J467" s="103"/>
      <c r="K467" s="103"/>
      <c r="L467" s="199"/>
      <c r="M467" s="199"/>
      <c r="N467" s="474"/>
    </row>
    <row r="468" spans="1:14" s="189" customFormat="1" ht="12.75" hidden="1" outlineLevel="2">
      <c r="A468" s="100"/>
      <c r="B468" s="106"/>
      <c r="C468" s="102" t="s">
        <v>1645</v>
      </c>
      <c r="D468" s="101"/>
      <c r="E468" s="144">
        <f>2.63*(2.2+2.45)*2-1.6</f>
        <v>22.858999999999998</v>
      </c>
      <c r="F468" s="103"/>
      <c r="G468" s="103"/>
      <c r="H468" s="103"/>
      <c r="I468" s="103"/>
      <c r="J468" s="103"/>
      <c r="K468" s="103"/>
      <c r="L468" s="199"/>
      <c r="M468" s="199"/>
      <c r="N468" s="474"/>
    </row>
    <row r="469" spans="1:14" s="189" customFormat="1" ht="12.75" hidden="1" outlineLevel="2">
      <c r="A469" s="100"/>
      <c r="B469" s="106"/>
      <c r="C469" s="102" t="s">
        <v>1646</v>
      </c>
      <c r="D469" s="101"/>
      <c r="E469" s="144">
        <f>2.6*(2.3+2.55)-1.6</f>
        <v>11.01</v>
      </c>
      <c r="F469" s="103"/>
      <c r="G469" s="103"/>
      <c r="H469" s="103"/>
      <c r="I469" s="103"/>
      <c r="J469" s="103"/>
      <c r="K469" s="103"/>
      <c r="L469" s="199"/>
      <c r="M469" s="199"/>
      <c r="N469" s="474"/>
    </row>
    <row r="470" spans="1:13" ht="12.75" outlineLevel="1" collapsed="1">
      <c r="A470" s="84">
        <v>26</v>
      </c>
      <c r="B470" s="85" t="s">
        <v>602</v>
      </c>
      <c r="C470" s="387" t="s">
        <v>603</v>
      </c>
      <c r="D470" s="85" t="s">
        <v>54</v>
      </c>
      <c r="E470" s="143">
        <v>850</v>
      </c>
      <c r="F470" s="86">
        <v>0</v>
      </c>
      <c r="G470" s="87">
        <f>SUM(E470*F470)</f>
        <v>0</v>
      </c>
      <c r="H470" s="87">
        <v>0</v>
      </c>
      <c r="I470" s="87">
        <v>0</v>
      </c>
      <c r="J470" s="98">
        <v>0.00046</v>
      </c>
      <c r="K470" s="99">
        <f>SUM(E470*J470)</f>
        <v>0.391</v>
      </c>
      <c r="L470" s="195"/>
      <c r="M470" s="196">
        <f>SUM(E470*L470)</f>
        <v>0</v>
      </c>
    </row>
    <row r="471" spans="1:13" ht="14.25" customHeight="1" outlineLevel="1">
      <c r="A471" s="84">
        <v>27</v>
      </c>
      <c r="B471" s="85" t="s">
        <v>1279</v>
      </c>
      <c r="C471" s="387" t="s">
        <v>1278</v>
      </c>
      <c r="D471" s="85" t="s">
        <v>48</v>
      </c>
      <c r="E471" s="143">
        <f>SUM(E472:E482)</f>
        <v>36.7725</v>
      </c>
      <c r="F471" s="384">
        <v>0</v>
      </c>
      <c r="G471" s="87">
        <f>SUM(E471*F471)</f>
        <v>0</v>
      </c>
      <c r="H471" s="87">
        <v>0</v>
      </c>
      <c r="I471" s="87">
        <v>0</v>
      </c>
      <c r="J471" s="98">
        <v>2.25634</v>
      </c>
      <c r="K471" s="99">
        <f>SUM(E471*J471)</f>
        <v>82.97126265</v>
      </c>
      <c r="L471" s="195"/>
      <c r="M471" s="196">
        <f>SUM(E471*L471)</f>
        <v>0</v>
      </c>
    </row>
    <row r="472" spans="1:13" ht="18.75" customHeight="1" hidden="1" outlineLevel="2">
      <c r="A472" s="100"/>
      <c r="B472" s="106"/>
      <c r="C472" s="102" t="s">
        <v>1281</v>
      </c>
      <c r="D472" s="101"/>
      <c r="E472" s="144"/>
      <c r="F472" s="103"/>
      <c r="G472" s="103"/>
      <c r="H472" s="103"/>
      <c r="I472" s="103"/>
      <c r="J472" s="103"/>
      <c r="K472" s="103"/>
      <c r="L472" s="199"/>
      <c r="M472" s="199"/>
    </row>
    <row r="473" spans="1:13" ht="18" customHeight="1" hidden="1" outlineLevel="2">
      <c r="A473" s="100"/>
      <c r="B473" s="106"/>
      <c r="C473" s="411" t="s">
        <v>349</v>
      </c>
      <c r="D473" s="101"/>
      <c r="E473" s="144"/>
      <c r="F473" s="103"/>
      <c r="G473" s="103"/>
      <c r="H473" s="103"/>
      <c r="I473" s="103"/>
      <c r="J473" s="103"/>
      <c r="K473" s="103"/>
      <c r="L473" s="199"/>
      <c r="M473" s="199"/>
    </row>
    <row r="474" spans="1:13" ht="27" customHeight="1" hidden="1" outlineLevel="2">
      <c r="A474" s="100"/>
      <c r="B474" s="106"/>
      <c r="C474" s="102" t="s">
        <v>1280</v>
      </c>
      <c r="D474" s="101"/>
      <c r="E474" s="144">
        <f>0.05*(20.92+87.83+17.16+10.29+6.57+3.54+6.1+2.58+14.64+5.59+6.52+5.14+6.3+2.89+9.21+6.11+16.26+12.81+15.83+9.47+15.4+4.12+8.32+2.86+10.27+4.46+2.57)</f>
        <v>15.688</v>
      </c>
      <c r="F474" s="103"/>
      <c r="G474" s="103"/>
      <c r="H474" s="103"/>
      <c r="I474" s="103"/>
      <c r="J474" s="103"/>
      <c r="K474" s="103"/>
      <c r="L474" s="199"/>
      <c r="M474" s="199"/>
    </row>
    <row r="475" spans="1:13" ht="17.25" customHeight="1" hidden="1" outlineLevel="2">
      <c r="A475" s="100"/>
      <c r="B475" s="106"/>
      <c r="C475" s="411" t="s">
        <v>350</v>
      </c>
      <c r="D475" s="101"/>
      <c r="E475" s="144"/>
      <c r="F475" s="103"/>
      <c r="G475" s="103"/>
      <c r="H475" s="103"/>
      <c r="I475" s="103"/>
      <c r="J475" s="103"/>
      <c r="K475" s="103"/>
      <c r="L475" s="199"/>
      <c r="M475" s="199"/>
    </row>
    <row r="476" spans="1:13" ht="27" customHeight="1" hidden="1" outlineLevel="2">
      <c r="A476" s="100"/>
      <c r="B476" s="106"/>
      <c r="C476" s="102" t="s">
        <v>1282</v>
      </c>
      <c r="D476" s="101"/>
      <c r="E476" s="144">
        <f>(18.83+5.87+6.25+6.09+6.3+6.09+4.77+5.33+5.49+7.34+6.63+5.56+5.48+3.18+1.87+8.69+3.25)*0.05</f>
        <v>5.351</v>
      </c>
      <c r="F476" s="103"/>
      <c r="G476" s="103"/>
      <c r="H476" s="103"/>
      <c r="I476" s="103"/>
      <c r="J476" s="103"/>
      <c r="K476" s="103"/>
      <c r="L476" s="199"/>
      <c r="M476" s="199"/>
    </row>
    <row r="477" spans="1:13" ht="12" customHeight="1" hidden="1" outlineLevel="2">
      <c r="A477" s="100"/>
      <c r="B477" s="106"/>
      <c r="C477" s="102" t="s">
        <v>351</v>
      </c>
      <c r="D477" s="101"/>
      <c r="E477" s="144"/>
      <c r="F477" s="103"/>
      <c r="G477" s="103"/>
      <c r="H477" s="103"/>
      <c r="I477" s="103"/>
      <c r="J477" s="103"/>
      <c r="K477" s="103"/>
      <c r="L477" s="199"/>
      <c r="M477" s="199"/>
    </row>
    <row r="478" spans="1:13" ht="27" customHeight="1" hidden="1" outlineLevel="2">
      <c r="A478" s="100"/>
      <c r="B478" s="106"/>
      <c r="C478" s="102" t="s">
        <v>1283</v>
      </c>
      <c r="D478" s="101"/>
      <c r="E478" s="144">
        <f>0.05*(5.76+6.46+5.87+6.25+6.09+6.3+6.09+4.77+5.33+7.08+1.73+1.84+5.49+5.48+5.56+7.35+6.63+5.56+5.25)</f>
        <v>5.2444999999999995</v>
      </c>
      <c r="F478" s="103"/>
      <c r="G478" s="103"/>
      <c r="H478" s="103"/>
      <c r="I478" s="103"/>
      <c r="J478" s="103"/>
      <c r="K478" s="103"/>
      <c r="L478" s="199"/>
      <c r="M478" s="199"/>
    </row>
    <row r="479" spans="1:13" ht="12.75" customHeight="1" hidden="1" outlineLevel="2">
      <c r="A479" s="100"/>
      <c r="B479" s="106"/>
      <c r="C479" s="102" t="s">
        <v>596</v>
      </c>
      <c r="D479" s="101"/>
      <c r="E479" s="144"/>
      <c r="F479" s="103"/>
      <c r="G479" s="103"/>
      <c r="H479" s="103"/>
      <c r="I479" s="103"/>
      <c r="J479" s="103"/>
      <c r="K479" s="103"/>
      <c r="L479" s="199"/>
      <c r="M479" s="199"/>
    </row>
    <row r="480" spans="1:13" ht="27" customHeight="1" hidden="1" outlineLevel="2">
      <c r="A480" s="100"/>
      <c r="B480" s="106"/>
      <c r="C480" s="102" t="s">
        <v>1283</v>
      </c>
      <c r="D480" s="101"/>
      <c r="E480" s="144">
        <f>0.05*(5.76+6.46+5.87+6.25+6.09+6.3+6.09+4.77+5.33+7.08+1.73+1.84+5.49+5.48+5.56+7.35+6.63+5.56+5.25)</f>
        <v>5.2444999999999995</v>
      </c>
      <c r="F480" s="103"/>
      <c r="G480" s="103"/>
      <c r="H480" s="103"/>
      <c r="I480" s="103"/>
      <c r="J480" s="103"/>
      <c r="K480" s="103"/>
      <c r="L480" s="199"/>
      <c r="M480" s="199"/>
    </row>
    <row r="481" spans="1:13" ht="14.25" customHeight="1" hidden="1" outlineLevel="2">
      <c r="A481" s="100"/>
      <c r="B481" s="106"/>
      <c r="C481" s="102" t="s">
        <v>597</v>
      </c>
      <c r="D481" s="101"/>
      <c r="E481" s="144"/>
      <c r="F481" s="103"/>
      <c r="G481" s="103"/>
      <c r="H481" s="103"/>
      <c r="I481" s="103"/>
      <c r="J481" s="103"/>
      <c r="K481" s="103"/>
      <c r="L481" s="199"/>
      <c r="M481" s="199"/>
    </row>
    <row r="482" spans="1:13" ht="26.25" customHeight="1" hidden="1" outlineLevel="2">
      <c r="A482" s="100"/>
      <c r="B482" s="106"/>
      <c r="C482" s="102" t="s">
        <v>1283</v>
      </c>
      <c r="D482" s="101"/>
      <c r="E482" s="144">
        <f>0.05*(5.76+6.46+5.87+6.25+6.09+6.3+6.09+4.77+5.33+7.08+1.73+1.84+5.49+5.48+5.56+7.35+6.63+5.56+5.25)</f>
        <v>5.2444999999999995</v>
      </c>
      <c r="F482" s="103"/>
      <c r="G482" s="103"/>
      <c r="H482" s="103"/>
      <c r="I482" s="103"/>
      <c r="J482" s="103"/>
      <c r="K482" s="103"/>
      <c r="L482" s="199"/>
      <c r="M482" s="199"/>
    </row>
    <row r="483" spans="1:13" ht="12.75" customHeight="1" outlineLevel="1" collapsed="1">
      <c r="A483" s="100"/>
      <c r="B483" s="106"/>
      <c r="G483" s="103"/>
      <c r="H483" s="103"/>
      <c r="I483" s="103"/>
      <c r="J483" s="103"/>
      <c r="K483" s="103"/>
      <c r="L483" s="199"/>
      <c r="M483" s="199"/>
    </row>
    <row r="484" spans="1:14" s="189" customFormat="1" ht="15.75" customHeight="1">
      <c r="A484" s="201"/>
      <c r="B484" s="202"/>
      <c r="C484" s="391" t="s">
        <v>987</v>
      </c>
      <c r="D484" s="203"/>
      <c r="E484" s="142"/>
      <c r="F484" s="204"/>
      <c r="G484" s="205">
        <f>SUM(G485:G504)</f>
        <v>0</v>
      </c>
      <c r="H484" s="205">
        <f>SUM(H485:H504)</f>
        <v>0</v>
      </c>
      <c r="I484" s="205">
        <f>SUM(I485:I504)</f>
        <v>0</v>
      </c>
      <c r="J484" s="205"/>
      <c r="K484" s="204">
        <f>SUM(K485:K505)</f>
        <v>2.3178530999999998</v>
      </c>
      <c r="L484" s="204"/>
      <c r="M484" s="204">
        <f>SUM(M485:M505)</f>
        <v>93.0603</v>
      </c>
      <c r="N484" s="473"/>
    </row>
    <row r="485" spans="1:18" ht="12.75" outlineLevel="1" collapsed="1">
      <c r="A485" s="84">
        <v>28</v>
      </c>
      <c r="B485" s="85" t="s">
        <v>1107</v>
      </c>
      <c r="C485" s="387" t="s">
        <v>1108</v>
      </c>
      <c r="D485" s="85" t="s">
        <v>26</v>
      </c>
      <c r="E485" s="143">
        <v>6013.95</v>
      </c>
      <c r="F485" s="384">
        <v>0</v>
      </c>
      <c r="G485" s="87">
        <f>SUM(E485*F485)</f>
        <v>0</v>
      </c>
      <c r="H485" s="87">
        <v>0</v>
      </c>
      <c r="I485" s="87">
        <v>0</v>
      </c>
      <c r="J485" s="98">
        <v>4E-05</v>
      </c>
      <c r="K485" s="99">
        <f>SUM(E485*J485)</f>
        <v>0.24055800000000002</v>
      </c>
      <c r="L485" s="98"/>
      <c r="M485" s="99">
        <f>SUM(E485*L485)</f>
        <v>0</v>
      </c>
      <c r="N485" s="473"/>
      <c r="O485"/>
      <c r="P485"/>
      <c r="Q485"/>
      <c r="R485"/>
    </row>
    <row r="486" spans="1:18" ht="12.75" outlineLevel="1">
      <c r="A486" s="84">
        <v>29</v>
      </c>
      <c r="B486" s="85" t="s">
        <v>988</v>
      </c>
      <c r="C486" s="387" t="s">
        <v>989</v>
      </c>
      <c r="D486" s="85" t="s">
        <v>25</v>
      </c>
      <c r="E486" s="143">
        <v>55</v>
      </c>
      <c r="F486" s="86">
        <v>0</v>
      </c>
      <c r="G486" s="87">
        <f>SUM(E486*F486)</f>
        <v>0</v>
      </c>
      <c r="H486" s="87">
        <v>0</v>
      </c>
      <c r="I486" s="87">
        <v>0</v>
      </c>
      <c r="J486" s="98"/>
      <c r="K486" s="99"/>
      <c r="L486" s="195"/>
      <c r="M486" s="196">
        <f>SUM(E486*L486)</f>
        <v>0</v>
      </c>
      <c r="N486" s="475"/>
      <c r="O486"/>
      <c r="P486"/>
      <c r="Q486"/>
      <c r="R486"/>
    </row>
    <row r="487" spans="1:18" ht="12.75" outlineLevel="1">
      <c r="A487" s="84">
        <v>30</v>
      </c>
      <c r="B487" s="85" t="s">
        <v>1699</v>
      </c>
      <c r="C487" s="478" t="s">
        <v>1700</v>
      </c>
      <c r="D487" s="127" t="s">
        <v>26</v>
      </c>
      <c r="E487" s="479">
        <f>SUM(E488)</f>
        <v>8.64</v>
      </c>
      <c r="F487" s="385">
        <v>0</v>
      </c>
      <c r="G487" s="128">
        <f>E487*F487</f>
        <v>0</v>
      </c>
      <c r="H487" s="87">
        <v>0</v>
      </c>
      <c r="I487" s="87">
        <v>0</v>
      </c>
      <c r="J487" s="129">
        <v>0.14994</v>
      </c>
      <c r="K487" s="130">
        <f>E487*J487</f>
        <v>1.2954816</v>
      </c>
      <c r="L487" s="129"/>
      <c r="M487" s="130"/>
      <c r="N487" s="475"/>
      <c r="O487"/>
      <c r="P487"/>
      <c r="Q487"/>
      <c r="R487"/>
    </row>
    <row r="488" spans="1:18" ht="12.75" hidden="1" outlineLevel="2">
      <c r="A488" s="84"/>
      <c r="B488" s="480"/>
      <c r="C488" s="481" t="s">
        <v>1701</v>
      </c>
      <c r="D488" s="132"/>
      <c r="E488" s="482">
        <f>4.8*0.9*3-(3*0.9*1.6)</f>
        <v>8.64</v>
      </c>
      <c r="F488" s="133"/>
      <c r="G488" s="134"/>
      <c r="H488" s="134"/>
      <c r="I488" s="134"/>
      <c r="J488" s="135"/>
      <c r="K488" s="133"/>
      <c r="L488" s="133"/>
      <c r="M488" s="133"/>
      <c r="N488" s="475"/>
      <c r="O488"/>
      <c r="P488"/>
      <c r="Q488"/>
      <c r="R488"/>
    </row>
    <row r="489" spans="1:18" ht="12.75" outlineLevel="1" collapsed="1">
      <c r="A489" s="84">
        <v>31</v>
      </c>
      <c r="B489" s="85" t="s">
        <v>990</v>
      </c>
      <c r="C489" s="387" t="s">
        <v>991</v>
      </c>
      <c r="D489" s="85" t="s">
        <v>25</v>
      </c>
      <c r="E489" s="143">
        <v>1</v>
      </c>
      <c r="F489" s="86">
        <v>0</v>
      </c>
      <c r="G489" s="87">
        <f>SUM(E489*F489)</f>
        <v>0</v>
      </c>
      <c r="H489" s="87">
        <v>0</v>
      </c>
      <c r="I489" s="87">
        <v>0</v>
      </c>
      <c r="J489" s="98"/>
      <c r="K489" s="99"/>
      <c r="L489" s="195"/>
      <c r="M489" s="196">
        <f>SUM(E489*L489)</f>
        <v>0</v>
      </c>
      <c r="N489" s="475"/>
      <c r="O489"/>
      <c r="P489"/>
      <c r="Q489"/>
      <c r="R489"/>
    </row>
    <row r="490" spans="1:18" ht="12.75" outlineLevel="1">
      <c r="A490" s="84">
        <v>32</v>
      </c>
      <c r="B490" s="85" t="s">
        <v>1285</v>
      </c>
      <c r="C490" s="387" t="s">
        <v>1284</v>
      </c>
      <c r="D490" s="85" t="s">
        <v>48</v>
      </c>
      <c r="E490" s="143">
        <f>SUM(E471)</f>
        <v>36.7725</v>
      </c>
      <c r="F490" s="384">
        <v>0</v>
      </c>
      <c r="G490" s="87">
        <f>SUM(E490*F490)</f>
        <v>0</v>
      </c>
      <c r="H490" s="87">
        <v>0</v>
      </c>
      <c r="I490" s="87">
        <v>0</v>
      </c>
      <c r="J490" s="98"/>
      <c r="K490" s="99"/>
      <c r="L490" s="98">
        <v>2.2</v>
      </c>
      <c r="M490" s="196">
        <f>SUM(E490*L490)</f>
        <v>80.8995</v>
      </c>
      <c r="N490" s="475"/>
      <c r="O490"/>
      <c r="P490"/>
      <c r="Q490"/>
      <c r="R490"/>
    </row>
    <row r="491" spans="1:18" ht="12.75" outlineLevel="1">
      <c r="A491" s="84">
        <v>33</v>
      </c>
      <c r="B491" s="127" t="s">
        <v>1702</v>
      </c>
      <c r="C491" s="478" t="s">
        <v>1703</v>
      </c>
      <c r="D491" s="127" t="s">
        <v>48</v>
      </c>
      <c r="E491" s="479">
        <f>SUM(E492:E494)</f>
        <v>5.067</v>
      </c>
      <c r="F491" s="385">
        <v>0</v>
      </c>
      <c r="G491" s="128">
        <f>E491*F491</f>
        <v>0</v>
      </c>
      <c r="H491" s="87">
        <v>0</v>
      </c>
      <c r="I491" s="87">
        <v>0</v>
      </c>
      <c r="J491" s="129"/>
      <c r="K491" s="130">
        <f>E491*J491</f>
        <v>0</v>
      </c>
      <c r="L491" s="129">
        <v>2.4</v>
      </c>
      <c r="M491" s="130">
        <f>E491*L491</f>
        <v>12.1608</v>
      </c>
      <c r="N491" s="475"/>
      <c r="O491"/>
      <c r="P491"/>
      <c r="Q491"/>
      <c r="R491"/>
    </row>
    <row r="492" spans="1:18" ht="12.75" hidden="1" outlineLevel="2">
      <c r="A492" s="413"/>
      <c r="B492" s="483"/>
      <c r="C492" s="481" t="s">
        <v>1693</v>
      </c>
      <c r="D492" s="483"/>
      <c r="E492" s="482"/>
      <c r="F492" s="484"/>
      <c r="G492" s="485"/>
      <c r="H492" s="485"/>
      <c r="I492" s="485"/>
      <c r="J492" s="486"/>
      <c r="K492" s="487"/>
      <c r="L492" s="486"/>
      <c r="M492" s="487"/>
      <c r="N492" s="475"/>
      <c r="O492"/>
      <c r="P492"/>
      <c r="Q492"/>
      <c r="R492"/>
    </row>
    <row r="493" spans="1:18" ht="12.75" hidden="1" outlineLevel="2">
      <c r="A493" s="413"/>
      <c r="B493" s="483"/>
      <c r="C493" s="481" t="s">
        <v>1704</v>
      </c>
      <c r="E493" s="482">
        <f>2.9*0.3*2.1</f>
        <v>1.827</v>
      </c>
      <c r="F493" s="484"/>
      <c r="G493" s="485"/>
      <c r="H493" s="485"/>
      <c r="I493" s="485"/>
      <c r="J493" s="486"/>
      <c r="K493" s="487"/>
      <c r="L493" s="486"/>
      <c r="M493" s="487"/>
      <c r="N493" s="475"/>
      <c r="O493"/>
      <c r="P493"/>
      <c r="Q493"/>
      <c r="R493"/>
    </row>
    <row r="494" spans="3:18" ht="11.25" customHeight="1" hidden="1" outlineLevel="2">
      <c r="C494" s="102" t="s">
        <v>1694</v>
      </c>
      <c r="E494" s="482">
        <f>1.8*0.6*1.5*2</f>
        <v>3.24</v>
      </c>
      <c r="N494" s="475"/>
      <c r="O494"/>
      <c r="P494"/>
      <c r="Q494"/>
      <c r="R494"/>
    </row>
    <row r="495" spans="1:18" ht="12.75" hidden="1" outlineLevel="2">
      <c r="A495" s="84"/>
      <c r="B495" s="85"/>
      <c r="C495" s="102" t="s">
        <v>1647</v>
      </c>
      <c r="D495" s="85"/>
      <c r="E495" s="143"/>
      <c r="F495" s="384"/>
      <c r="G495" s="87"/>
      <c r="H495" s="87"/>
      <c r="I495" s="87"/>
      <c r="J495" s="98"/>
      <c r="K495" s="99"/>
      <c r="L495" s="98"/>
      <c r="M495" s="99"/>
      <c r="N495" s="475"/>
      <c r="O495"/>
      <c r="P495"/>
      <c r="Q495"/>
      <c r="R495"/>
    </row>
    <row r="496" spans="1:18" ht="12.75" outlineLevel="1" collapsed="1">
      <c r="A496" s="84">
        <v>34</v>
      </c>
      <c r="B496" s="433" t="s">
        <v>1286</v>
      </c>
      <c r="C496" s="434" t="s">
        <v>1287</v>
      </c>
      <c r="D496" s="433" t="s">
        <v>188</v>
      </c>
      <c r="E496" s="431">
        <f>SUM(M484)</f>
        <v>93.0603</v>
      </c>
      <c r="F496" s="437">
        <v>0</v>
      </c>
      <c r="G496" s="87">
        <f aca="true" t="shared" si="0" ref="G496:G504">SUM(E496*F496)</f>
        <v>0</v>
      </c>
      <c r="H496" s="87">
        <v>0</v>
      </c>
      <c r="I496" s="87">
        <v>0</v>
      </c>
      <c r="J496" s="435"/>
      <c r="K496" s="436"/>
      <c r="L496" s="435"/>
      <c r="M496" s="436"/>
      <c r="N496" s="475"/>
      <c r="O496"/>
      <c r="P496"/>
      <c r="Q496"/>
      <c r="R496"/>
    </row>
    <row r="497" spans="1:18" ht="12.75" outlineLevel="1">
      <c r="A497" s="84">
        <v>35</v>
      </c>
      <c r="B497" s="433" t="s">
        <v>1288</v>
      </c>
      <c r="C497" s="434" t="s">
        <v>1289</v>
      </c>
      <c r="D497" s="433" t="s">
        <v>188</v>
      </c>
      <c r="E497" s="431">
        <f>SUM(E496)*0.6</f>
        <v>55.83618</v>
      </c>
      <c r="F497" s="437">
        <v>0</v>
      </c>
      <c r="G497" s="87">
        <f t="shared" si="0"/>
        <v>0</v>
      </c>
      <c r="H497" s="87">
        <v>0</v>
      </c>
      <c r="I497" s="87">
        <v>0</v>
      </c>
      <c r="J497" s="435"/>
      <c r="K497" s="436"/>
      <c r="L497" s="435"/>
      <c r="M497" s="436"/>
      <c r="N497" s="475"/>
      <c r="O497"/>
      <c r="P497"/>
      <c r="Q497"/>
      <c r="R497"/>
    </row>
    <row r="498" spans="1:18" ht="12.75" hidden="1" outlineLevel="2">
      <c r="A498" s="84"/>
      <c r="B498" s="438"/>
      <c r="C498" s="439" t="s">
        <v>1299</v>
      </c>
      <c r="D498" s="440"/>
      <c r="E498" s="432"/>
      <c r="F498" s="441"/>
      <c r="G498" s="87"/>
      <c r="H498" s="416"/>
      <c r="I498" s="416"/>
      <c r="J498" s="442"/>
      <c r="K498" s="441"/>
      <c r="L498" s="441"/>
      <c r="M498" s="441"/>
      <c r="N498" s="475"/>
      <c r="O498"/>
      <c r="P498"/>
      <c r="Q498"/>
      <c r="R498"/>
    </row>
    <row r="499" spans="1:18" ht="12.75" outlineLevel="1" collapsed="1">
      <c r="A499" s="84">
        <v>36</v>
      </c>
      <c r="B499" s="433" t="s">
        <v>1290</v>
      </c>
      <c r="C499" s="434" t="s">
        <v>1291</v>
      </c>
      <c r="D499" s="433" t="s">
        <v>188</v>
      </c>
      <c r="E499" s="431">
        <f>SUM(E496)</f>
        <v>93.0603</v>
      </c>
      <c r="F499" s="437">
        <v>0</v>
      </c>
      <c r="G499" s="87">
        <f t="shared" si="0"/>
        <v>0</v>
      </c>
      <c r="H499" s="87">
        <v>0</v>
      </c>
      <c r="I499" s="87">
        <v>0</v>
      </c>
      <c r="J499" s="435"/>
      <c r="K499" s="436"/>
      <c r="L499" s="435"/>
      <c r="M499" s="436"/>
      <c r="N499" s="475"/>
      <c r="O499"/>
      <c r="P499"/>
      <c r="Q499"/>
      <c r="R499"/>
    </row>
    <row r="500" spans="1:18" ht="12.75" outlineLevel="1">
      <c r="A500" s="84">
        <v>37</v>
      </c>
      <c r="B500" s="433" t="s">
        <v>1292</v>
      </c>
      <c r="C500" s="434" t="s">
        <v>1293</v>
      </c>
      <c r="D500" s="433" t="s">
        <v>188</v>
      </c>
      <c r="E500" s="431">
        <f>SUM(E499)</f>
        <v>93.0603</v>
      </c>
      <c r="F500" s="437">
        <v>0</v>
      </c>
      <c r="G500" s="87">
        <f t="shared" si="0"/>
        <v>0</v>
      </c>
      <c r="H500" s="87">
        <v>0</v>
      </c>
      <c r="I500" s="87">
        <v>0</v>
      </c>
      <c r="J500" s="435"/>
      <c r="K500" s="436"/>
      <c r="L500" s="435"/>
      <c r="M500" s="436"/>
      <c r="N500" s="475"/>
      <c r="O500"/>
      <c r="P500"/>
      <c r="Q500"/>
      <c r="R500"/>
    </row>
    <row r="501" spans="1:18" ht="12.75" outlineLevel="1">
      <c r="A501" s="84">
        <v>38</v>
      </c>
      <c r="B501" s="433" t="s">
        <v>1294</v>
      </c>
      <c r="C501" s="434" t="s">
        <v>1295</v>
      </c>
      <c r="D501" s="433" t="s">
        <v>188</v>
      </c>
      <c r="E501" s="431">
        <f>SUM(E502)</f>
        <v>1395.9044999999999</v>
      </c>
      <c r="F501" s="437">
        <v>0</v>
      </c>
      <c r="G501" s="87">
        <f t="shared" si="0"/>
        <v>0</v>
      </c>
      <c r="H501" s="87">
        <v>0</v>
      </c>
      <c r="I501" s="87">
        <v>0</v>
      </c>
      <c r="J501" s="435"/>
      <c r="K501" s="436"/>
      <c r="L501" s="435"/>
      <c r="M501" s="436"/>
      <c r="N501" s="475"/>
      <c r="O501"/>
      <c r="P501"/>
      <c r="Q501"/>
      <c r="R501"/>
    </row>
    <row r="502" spans="1:18" ht="12.75" hidden="1" outlineLevel="2">
      <c r="A502" s="84"/>
      <c r="B502" s="438"/>
      <c r="C502" s="439" t="s">
        <v>1296</v>
      </c>
      <c r="D502" s="440"/>
      <c r="E502" s="432">
        <f>SUM(E499)*15</f>
        <v>1395.9044999999999</v>
      </c>
      <c r="F502" s="441"/>
      <c r="G502" s="87"/>
      <c r="H502" s="416"/>
      <c r="I502" s="416"/>
      <c r="J502" s="442"/>
      <c r="K502" s="441"/>
      <c r="L502" s="441"/>
      <c r="M502" s="441"/>
      <c r="N502" s="475"/>
      <c r="O502"/>
      <c r="P502"/>
      <c r="Q502"/>
      <c r="R502"/>
    </row>
    <row r="503" spans="1:18" ht="12.75" outlineLevel="1" collapsed="1">
      <c r="A503" s="84">
        <v>39</v>
      </c>
      <c r="B503" s="433" t="s">
        <v>1297</v>
      </c>
      <c r="C503" s="434" t="s">
        <v>1298</v>
      </c>
      <c r="D503" s="433" t="s">
        <v>188</v>
      </c>
      <c r="E503" s="431">
        <f>SUM(E500)</f>
        <v>93.0603</v>
      </c>
      <c r="F503" s="437">
        <v>0</v>
      </c>
      <c r="G503" s="87">
        <f t="shared" si="0"/>
        <v>0</v>
      </c>
      <c r="H503" s="87">
        <v>0</v>
      </c>
      <c r="I503" s="87">
        <v>0</v>
      </c>
      <c r="J503" s="435"/>
      <c r="K503" s="436"/>
      <c r="L503" s="435"/>
      <c r="M503" s="436"/>
      <c r="N503" s="475"/>
      <c r="O503"/>
      <c r="P503"/>
      <c r="Q503"/>
      <c r="R503"/>
    </row>
    <row r="504" spans="1:19" ht="12.75" customHeight="1" outlineLevel="1">
      <c r="A504" s="84">
        <v>40</v>
      </c>
      <c r="B504" s="85" t="s">
        <v>1109</v>
      </c>
      <c r="C504" s="387" t="s">
        <v>1110</v>
      </c>
      <c r="D504" s="85" t="s">
        <v>26</v>
      </c>
      <c r="E504" s="143">
        <v>6013.95</v>
      </c>
      <c r="F504" s="86">
        <v>0</v>
      </c>
      <c r="G504" s="87">
        <f t="shared" si="0"/>
        <v>0</v>
      </c>
      <c r="H504" s="87">
        <v>0</v>
      </c>
      <c r="I504" s="87">
        <v>0</v>
      </c>
      <c r="J504" s="98">
        <v>0.00013</v>
      </c>
      <c r="K504" s="99">
        <f>SUM(E504*J504)</f>
        <v>0.7818134999999999</v>
      </c>
      <c r="L504" s="195"/>
      <c r="M504" s="196">
        <f>SUM(E504*L504)</f>
        <v>0</v>
      </c>
      <c r="S504" s="189"/>
    </row>
    <row r="505" spans="1:13" ht="12.75">
      <c r="A505" s="93"/>
      <c r="B505" s="105"/>
      <c r="C505" s="390" t="s">
        <v>992</v>
      </c>
      <c r="D505" s="83"/>
      <c r="E505" s="142"/>
      <c r="F505" s="95"/>
      <c r="G505" s="96">
        <f>SUM(G506)</f>
        <v>0</v>
      </c>
      <c r="H505" s="96">
        <f>SUM(H506)</f>
        <v>0</v>
      </c>
      <c r="I505" s="96">
        <f>SUM(I506)</f>
        <v>0</v>
      </c>
      <c r="J505" s="96"/>
      <c r="K505" s="96"/>
      <c r="L505" s="205"/>
      <c r="M505" s="205">
        <f>SUM(M506)</f>
        <v>0</v>
      </c>
    </row>
    <row r="506" spans="1:13" ht="12.75" outlineLevel="1">
      <c r="A506" s="84">
        <v>41</v>
      </c>
      <c r="B506" s="85" t="s">
        <v>993</v>
      </c>
      <c r="C506" s="97" t="s">
        <v>994</v>
      </c>
      <c r="D506" s="85" t="s">
        <v>188</v>
      </c>
      <c r="E506" s="143">
        <f>SUM(K7)</f>
        <v>982.5528824925</v>
      </c>
      <c r="F506" s="86">
        <v>0</v>
      </c>
      <c r="G506" s="87">
        <f>SUM(E506*F506)</f>
        <v>0</v>
      </c>
      <c r="H506" s="87">
        <v>0</v>
      </c>
      <c r="I506" s="87">
        <v>0</v>
      </c>
      <c r="J506" s="98"/>
      <c r="K506" s="99"/>
      <c r="L506" s="195"/>
      <c r="M506" s="196"/>
    </row>
    <row r="507" spans="1:14" s="189" customFormat="1" ht="12.75">
      <c r="A507" s="93"/>
      <c r="B507" s="105"/>
      <c r="C507" s="94" t="s">
        <v>604</v>
      </c>
      <c r="D507" s="83"/>
      <c r="E507" s="142"/>
      <c r="F507" s="95"/>
      <c r="G507" s="96">
        <f>SUM(G508:G522)</f>
        <v>0</v>
      </c>
      <c r="H507" s="96">
        <f>SUM(H508:H522)</f>
        <v>0</v>
      </c>
      <c r="I507" s="96">
        <f>SUM(I508:I522)</f>
        <v>0</v>
      </c>
      <c r="J507" s="95"/>
      <c r="K507" s="95">
        <f>SUM(K508:K522)</f>
        <v>9.468931275</v>
      </c>
      <c r="L507" s="204"/>
      <c r="M507" s="204">
        <f>SUM(M508:M522)</f>
        <v>0</v>
      </c>
      <c r="N507" s="474"/>
    </row>
    <row r="508" spans="1:14" s="189" customFormat="1" ht="14.25" customHeight="1" outlineLevel="1">
      <c r="A508" s="84">
        <v>42</v>
      </c>
      <c r="B508" s="85" t="s">
        <v>605</v>
      </c>
      <c r="C508" s="97" t="s">
        <v>606</v>
      </c>
      <c r="D508" s="85" t="s">
        <v>26</v>
      </c>
      <c r="E508" s="143">
        <f>SUM(E509:E519)</f>
        <v>2104.20695</v>
      </c>
      <c r="F508" s="86">
        <v>0</v>
      </c>
      <c r="G508" s="87">
        <f>SUM(E508*F508)</f>
        <v>0</v>
      </c>
      <c r="H508" s="87">
        <v>0</v>
      </c>
      <c r="I508" s="87">
        <v>0</v>
      </c>
      <c r="J508" s="98"/>
      <c r="K508" s="99">
        <f>SUM(E508*J508)</f>
        <v>0</v>
      </c>
      <c r="L508" s="195"/>
      <c r="M508" s="196">
        <f>SUM(E508*L508)</f>
        <v>0</v>
      </c>
      <c r="N508" s="474"/>
    </row>
    <row r="509" spans="1:14" s="189" customFormat="1" ht="12.75" hidden="1" outlineLevel="2">
      <c r="A509" s="100"/>
      <c r="B509" s="106"/>
      <c r="C509" s="411" t="s">
        <v>349</v>
      </c>
      <c r="D509" s="101"/>
      <c r="E509" s="144"/>
      <c r="F509" s="103"/>
      <c r="G509" s="103"/>
      <c r="H509" s="103"/>
      <c r="I509" s="103"/>
      <c r="J509" s="103"/>
      <c r="K509" s="103"/>
      <c r="L509" s="199"/>
      <c r="M509" s="199"/>
      <c r="N509" s="474"/>
    </row>
    <row r="510" spans="1:14" s="189" customFormat="1" ht="22.5" hidden="1" outlineLevel="2">
      <c r="A510" s="100"/>
      <c r="B510" s="106"/>
      <c r="C510" s="102" t="s">
        <v>1200</v>
      </c>
      <c r="D510" s="101"/>
      <c r="E510" s="144">
        <f>20.92+87.83+17.16+10.29+6.57+3.54+6.1+2.58+14.64+5.59+6.52+5.14+6.3+2.89+9.21+6.11+16.26+12.81+15.83+9.47+15.4+4.12+8.32+2.86+10.27+4.46+2.57</f>
        <v>313.76</v>
      </c>
      <c r="F510" s="103"/>
      <c r="G510" s="103"/>
      <c r="H510" s="103"/>
      <c r="I510" s="103"/>
      <c r="J510" s="103"/>
      <c r="K510" s="103"/>
      <c r="L510" s="199"/>
      <c r="M510" s="199"/>
      <c r="N510" s="474"/>
    </row>
    <row r="511" spans="1:14" s="189" customFormat="1" ht="12.75" hidden="1" outlineLevel="2">
      <c r="A511" s="100"/>
      <c r="B511" s="106"/>
      <c r="C511" s="411" t="s">
        <v>350</v>
      </c>
      <c r="D511" s="101"/>
      <c r="E511" s="144"/>
      <c r="F511" s="103"/>
      <c r="G511" s="103"/>
      <c r="H511" s="103"/>
      <c r="I511" s="103"/>
      <c r="J511" s="103"/>
      <c r="K511" s="103"/>
      <c r="L511" s="199"/>
      <c r="M511" s="199"/>
      <c r="N511" s="474"/>
    </row>
    <row r="512" spans="1:14" s="189" customFormat="1" ht="22.5" hidden="1" outlineLevel="2">
      <c r="A512" s="100"/>
      <c r="B512" s="106"/>
      <c r="C512" s="102" t="s">
        <v>1201</v>
      </c>
      <c r="D512" s="101"/>
      <c r="E512" s="144">
        <f>18.83+5.87+6.25+6.09+6.3+6.09+4.77+5.33+5.49+7.34+6.63+5.56+5.48+3.18+1.87+8.69+3.25</f>
        <v>107.02</v>
      </c>
      <c r="F512" s="103"/>
      <c r="G512" s="103"/>
      <c r="H512" s="103"/>
      <c r="I512" s="103"/>
      <c r="J512" s="103"/>
      <c r="K512" s="103"/>
      <c r="L512" s="199"/>
      <c r="M512" s="199"/>
      <c r="N512" s="474"/>
    </row>
    <row r="513" spans="1:14" s="189" customFormat="1" ht="12.75" hidden="1" outlineLevel="2">
      <c r="A513" s="100"/>
      <c r="B513" s="106"/>
      <c r="C513" s="102" t="s">
        <v>351</v>
      </c>
      <c r="D513" s="101"/>
      <c r="E513" s="144"/>
      <c r="F513" s="103"/>
      <c r="G513" s="103"/>
      <c r="H513" s="103"/>
      <c r="I513" s="103"/>
      <c r="J513" s="103"/>
      <c r="K513" s="103"/>
      <c r="L513" s="199"/>
      <c r="M513" s="199"/>
      <c r="N513" s="474"/>
    </row>
    <row r="514" spans="1:14" s="189" customFormat="1" ht="22.5" hidden="1" outlineLevel="2">
      <c r="A514" s="100"/>
      <c r="B514" s="106"/>
      <c r="C514" s="102" t="s">
        <v>1202</v>
      </c>
      <c r="D514" s="101"/>
      <c r="E514" s="144">
        <f>5.76+6.46+5.87+6.25+6.09+6.3+6.09+4.77+5.33+7.08+1.73+1.84+5.49+5.48+5.56+7.35+6.63+5.56+5.25</f>
        <v>104.88999999999999</v>
      </c>
      <c r="F514" s="103"/>
      <c r="G514" s="103"/>
      <c r="H514" s="103"/>
      <c r="I514" s="103"/>
      <c r="J514" s="103"/>
      <c r="K514" s="103"/>
      <c r="L514" s="199"/>
      <c r="M514" s="199"/>
      <c r="N514" s="474"/>
    </row>
    <row r="515" spans="1:14" s="189" customFormat="1" ht="12.75" hidden="1" outlineLevel="2">
      <c r="A515" s="100"/>
      <c r="B515" s="106"/>
      <c r="C515" s="102" t="s">
        <v>596</v>
      </c>
      <c r="D515" s="101"/>
      <c r="E515" s="144"/>
      <c r="F515" s="103"/>
      <c r="G515" s="103"/>
      <c r="H515" s="103"/>
      <c r="I515" s="103"/>
      <c r="J515" s="103"/>
      <c r="K515" s="103"/>
      <c r="L515" s="199"/>
      <c r="M515" s="199"/>
      <c r="N515" s="474"/>
    </row>
    <row r="516" spans="1:14" s="189" customFormat="1" ht="22.5" hidden="1" outlineLevel="2">
      <c r="A516" s="100"/>
      <c r="B516" s="106"/>
      <c r="C516" s="102" t="s">
        <v>1202</v>
      </c>
      <c r="D516" s="101"/>
      <c r="E516" s="144">
        <f>5.76+6.46+5.87+6.25+6.09+6.3+6.09+4.77+5.33+7.08+1.73+1.84+5.49+5.48+5.56+7.35+6.63+5.56+5.25</f>
        <v>104.88999999999999</v>
      </c>
      <c r="F516" s="103"/>
      <c r="G516" s="103"/>
      <c r="H516" s="103"/>
      <c r="I516" s="103"/>
      <c r="J516" s="103"/>
      <c r="K516" s="103"/>
      <c r="L516" s="199"/>
      <c r="M516" s="199"/>
      <c r="N516" s="474"/>
    </row>
    <row r="517" spans="1:14" s="189" customFormat="1" ht="12.75" hidden="1" outlineLevel="2">
      <c r="A517" s="100"/>
      <c r="B517" s="106"/>
      <c r="C517" s="102" t="s">
        <v>597</v>
      </c>
      <c r="D517" s="101"/>
      <c r="E517" s="144"/>
      <c r="F517" s="103"/>
      <c r="G517" s="103"/>
      <c r="H517" s="103"/>
      <c r="I517" s="103"/>
      <c r="J517" s="103"/>
      <c r="K517" s="103"/>
      <c r="L517" s="199"/>
      <c r="M517" s="199"/>
      <c r="N517" s="474"/>
    </row>
    <row r="518" spans="1:14" s="189" customFormat="1" ht="22.5" hidden="1" outlineLevel="2">
      <c r="A518" s="100"/>
      <c r="B518" s="106"/>
      <c r="C518" s="102" t="s">
        <v>1202</v>
      </c>
      <c r="D518" s="101"/>
      <c r="E518" s="144">
        <f>5.76+6.46+5.87+6.25+6.09+6.3+6.09+4.77+5.33+7.08+1.73+1.84+5.49+5.48+5.56+7.35+6.63+5.56+5.25</f>
        <v>104.88999999999999</v>
      </c>
      <c r="F518" s="103"/>
      <c r="G518" s="103"/>
      <c r="H518" s="103"/>
      <c r="I518" s="103"/>
      <c r="J518" s="103"/>
      <c r="K518" s="103"/>
      <c r="L518" s="199"/>
      <c r="M518" s="199"/>
      <c r="N518" s="474"/>
    </row>
    <row r="519" spans="1:14" s="189" customFormat="1" ht="12.75" hidden="1" outlineLevel="2">
      <c r="A519" s="100"/>
      <c r="B519" s="106"/>
      <c r="C519" s="102" t="s">
        <v>1383</v>
      </c>
      <c r="D519" s="412"/>
      <c r="E519" s="457">
        <f>SUM(E654)*1.1</f>
        <v>1368.75695</v>
      </c>
      <c r="F519" s="103"/>
      <c r="G519" s="103"/>
      <c r="H519" s="103"/>
      <c r="I519" s="103"/>
      <c r="J519" s="103"/>
      <c r="K519" s="103"/>
      <c r="L519" s="199"/>
      <c r="M519" s="199"/>
      <c r="N519" s="474"/>
    </row>
    <row r="520" spans="1:15" s="189" customFormat="1" ht="12.75" outlineLevel="1" collapsed="1">
      <c r="A520" s="190">
        <v>43</v>
      </c>
      <c r="B520" s="191" t="s">
        <v>607</v>
      </c>
      <c r="C520" s="192" t="s">
        <v>608</v>
      </c>
      <c r="D520" s="191" t="s">
        <v>55</v>
      </c>
      <c r="E520" s="285">
        <f>SUM(E508)*1.5*3</f>
        <v>9468.931274999999</v>
      </c>
      <c r="F520" s="193">
        <v>0</v>
      </c>
      <c r="G520" s="194">
        <f>SUM(E520*F520)</f>
        <v>0</v>
      </c>
      <c r="H520" s="87">
        <v>0</v>
      </c>
      <c r="I520" s="87">
        <v>0</v>
      </c>
      <c r="J520" s="195">
        <v>0.001</v>
      </c>
      <c r="K520" s="196">
        <f>SUM(E520*J520)</f>
        <v>9.468931275</v>
      </c>
      <c r="L520" s="195"/>
      <c r="M520" s="196">
        <f>SUM(E520*L520)</f>
        <v>0</v>
      </c>
      <c r="N520" s="474"/>
      <c r="O520" s="37"/>
    </row>
    <row r="521" spans="1:15" s="189" customFormat="1" ht="22.5" hidden="1" outlineLevel="2">
      <c r="A521" s="190"/>
      <c r="B521" s="191"/>
      <c r="C521" s="102" t="s">
        <v>609</v>
      </c>
      <c r="D521" s="191"/>
      <c r="E521" s="285"/>
      <c r="F521" s="193"/>
      <c r="G521" s="194"/>
      <c r="H521" s="194"/>
      <c r="I521" s="194"/>
      <c r="J521" s="195"/>
      <c r="K521" s="196"/>
      <c r="L521" s="195"/>
      <c r="M521" s="196"/>
      <c r="N521" s="474"/>
      <c r="O521" s="37"/>
    </row>
    <row r="522" spans="1:14" s="189" customFormat="1" ht="15.75" customHeight="1" outlineLevel="1" collapsed="1">
      <c r="A522" s="84">
        <v>44</v>
      </c>
      <c r="B522" s="85" t="s">
        <v>610</v>
      </c>
      <c r="C522" s="97" t="s">
        <v>611</v>
      </c>
      <c r="D522" s="85" t="s">
        <v>23</v>
      </c>
      <c r="E522" s="143">
        <v>3.42</v>
      </c>
      <c r="F522" s="86">
        <v>0</v>
      </c>
      <c r="G522" s="87">
        <f>SUM(E522*F522)</f>
        <v>0</v>
      </c>
      <c r="H522" s="87">
        <v>0</v>
      </c>
      <c r="I522" s="87">
        <v>0</v>
      </c>
      <c r="J522" s="98"/>
      <c r="K522" s="99">
        <f>SUM(E522*J522)</f>
        <v>0</v>
      </c>
      <c r="L522" s="195"/>
      <c r="M522" s="196">
        <f>SUM(E522*L522)</f>
        <v>0</v>
      </c>
      <c r="N522" s="474"/>
    </row>
    <row r="523" spans="1:13" ht="12.75">
      <c r="A523" s="93"/>
      <c r="B523" s="105"/>
      <c r="C523" s="94" t="s">
        <v>1078</v>
      </c>
      <c r="D523" s="83"/>
      <c r="E523" s="142"/>
      <c r="F523" s="95"/>
      <c r="G523" s="96">
        <f>SUM(G524)</f>
        <v>0</v>
      </c>
      <c r="H523" s="96">
        <f>SUM(H524)</f>
        <v>0</v>
      </c>
      <c r="I523" s="96">
        <f>SUM(I524)</f>
        <v>0</v>
      </c>
      <c r="J523" s="96"/>
      <c r="K523" s="96">
        <f>SUM(K524)</f>
        <v>0</v>
      </c>
      <c r="L523" s="205"/>
      <c r="M523" s="205">
        <f>SUM(M524)</f>
        <v>0</v>
      </c>
    </row>
    <row r="524" spans="1:13" ht="12.75" outlineLevel="1">
      <c r="A524" s="84">
        <v>45</v>
      </c>
      <c r="B524" s="85" t="s">
        <v>1079</v>
      </c>
      <c r="C524" s="97" t="s">
        <v>1080</v>
      </c>
      <c r="D524" s="85" t="s">
        <v>25</v>
      </c>
      <c r="E524" s="143">
        <v>1</v>
      </c>
      <c r="F524" s="86">
        <f>ZTI_NOVÝ!G51</f>
        <v>0</v>
      </c>
      <c r="G524" s="87">
        <f>SUM(E524*F524)</f>
        <v>0</v>
      </c>
      <c r="H524" s="87">
        <v>0</v>
      </c>
      <c r="I524" s="87">
        <v>0</v>
      </c>
      <c r="J524" s="98"/>
      <c r="K524" s="99">
        <f>SUM(E524*J524)</f>
        <v>0</v>
      </c>
      <c r="L524" s="195"/>
      <c r="M524" s="196">
        <f>SUM(E524*L524)</f>
        <v>0</v>
      </c>
    </row>
    <row r="525" spans="1:18" s="182" customFormat="1" ht="12.75">
      <c r="A525" s="93"/>
      <c r="B525" s="105"/>
      <c r="C525" s="94" t="s">
        <v>382</v>
      </c>
      <c r="D525" s="83"/>
      <c r="E525" s="142"/>
      <c r="F525" s="95"/>
      <c r="G525" s="96">
        <f>SUM(G526)</f>
        <v>0</v>
      </c>
      <c r="H525" s="96">
        <f>SUM(H526)</f>
        <v>0</v>
      </c>
      <c r="I525" s="96">
        <f>SUM(I526)</f>
        <v>0</v>
      </c>
      <c r="J525" s="96"/>
      <c r="K525" s="96">
        <f>SUM(K526)</f>
        <v>0</v>
      </c>
      <c r="L525" s="205"/>
      <c r="M525" s="205">
        <f>SUM(M526)</f>
        <v>0</v>
      </c>
      <c r="N525" s="474"/>
      <c r="O525" s="211"/>
      <c r="P525" s="211"/>
      <c r="Q525" s="211"/>
      <c r="R525" s="211"/>
    </row>
    <row r="526" spans="1:13" ht="12.75" outlineLevel="1">
      <c r="A526" s="84">
        <v>46</v>
      </c>
      <c r="B526" s="85" t="s">
        <v>357</v>
      </c>
      <c r="C526" s="97" t="s">
        <v>452</v>
      </c>
      <c r="D526" s="85" t="s">
        <v>25</v>
      </c>
      <c r="E526" s="143">
        <v>1</v>
      </c>
      <c r="F526" s="86">
        <f>ÚT_NOVÝ!G4</f>
        <v>0</v>
      </c>
      <c r="G526" s="87">
        <f>SUM(E526*F526)</f>
        <v>0</v>
      </c>
      <c r="H526" s="87">
        <v>0</v>
      </c>
      <c r="I526" s="87">
        <v>0</v>
      </c>
      <c r="J526" s="98"/>
      <c r="K526" s="99">
        <f>SUM(E526*J526)</f>
        <v>0</v>
      </c>
      <c r="L526" s="195"/>
      <c r="M526" s="196">
        <f>SUM(E526*L526)</f>
        <v>0</v>
      </c>
    </row>
    <row r="527" spans="1:13" ht="12.75">
      <c r="A527" s="93"/>
      <c r="B527" s="105"/>
      <c r="C527" s="94" t="s">
        <v>383</v>
      </c>
      <c r="D527" s="83"/>
      <c r="E527" s="142"/>
      <c r="F527" s="95"/>
      <c r="G527" s="96">
        <f>SUM(G528:G529)</f>
        <v>0</v>
      </c>
      <c r="H527" s="96">
        <f>SUM(H528:H529)</f>
        <v>0</v>
      </c>
      <c r="I527" s="96">
        <f>SUM(I528:I529)</f>
        <v>0</v>
      </c>
      <c r="J527" s="96"/>
      <c r="K527" s="96"/>
      <c r="L527" s="205"/>
      <c r="M527" s="205"/>
    </row>
    <row r="528" spans="1:13" ht="12.75" outlineLevel="1">
      <c r="A528" s="84">
        <v>47</v>
      </c>
      <c r="B528" s="85" t="s">
        <v>381</v>
      </c>
      <c r="C528" s="97" t="s">
        <v>384</v>
      </c>
      <c r="D528" s="85" t="s">
        <v>25</v>
      </c>
      <c r="E528" s="143">
        <v>1</v>
      </c>
      <c r="F528" s="86">
        <f>VZT_NOVÝ!I434</f>
        <v>0</v>
      </c>
      <c r="G528" s="87">
        <f>SUM(E528*F528)</f>
        <v>0</v>
      </c>
      <c r="H528" s="87">
        <v>0</v>
      </c>
      <c r="I528" s="87">
        <v>0</v>
      </c>
      <c r="J528" s="98"/>
      <c r="K528" s="99"/>
      <c r="L528" s="195"/>
      <c r="M528" s="196"/>
    </row>
    <row r="529" spans="1:14" s="189" customFormat="1" ht="12.75" outlineLevel="1">
      <c r="A529" s="84">
        <v>48</v>
      </c>
      <c r="B529" s="85" t="s">
        <v>412</v>
      </c>
      <c r="C529" s="97" t="s">
        <v>413</v>
      </c>
      <c r="D529" s="85" t="s">
        <v>47</v>
      </c>
      <c r="E529" s="143">
        <v>150</v>
      </c>
      <c r="F529" s="86">
        <v>0</v>
      </c>
      <c r="G529" s="87">
        <f>SUM(E529*F529)</f>
        <v>0</v>
      </c>
      <c r="H529" s="87">
        <v>0</v>
      </c>
      <c r="I529" s="87">
        <v>0</v>
      </c>
      <c r="J529" s="98"/>
      <c r="K529" s="99"/>
      <c r="L529" s="195"/>
      <c r="M529" s="196"/>
      <c r="N529" s="474"/>
    </row>
    <row r="530" spans="1:14" s="189" customFormat="1" ht="12.75">
      <c r="A530" s="201"/>
      <c r="B530" s="202"/>
      <c r="C530" s="489" t="s">
        <v>358</v>
      </c>
      <c r="D530" s="203"/>
      <c r="E530" s="142"/>
      <c r="F530" s="204"/>
      <c r="G530" s="205">
        <f>SUM(G531:G563)</f>
        <v>0</v>
      </c>
      <c r="H530" s="205">
        <f>SUM(H531:H563)</f>
        <v>0</v>
      </c>
      <c r="I530" s="205">
        <f>SUM(I531:I563)</f>
        <v>0</v>
      </c>
      <c r="J530" s="205"/>
      <c r="K530" s="205">
        <f>SUM(K531:K563)</f>
        <v>65.73661271</v>
      </c>
      <c r="L530" s="205"/>
      <c r="M530" s="205">
        <f>SUM(M531:M563)</f>
        <v>0</v>
      </c>
      <c r="N530" s="473"/>
    </row>
    <row r="531" spans="1:14" s="189" customFormat="1" ht="12.75" outlineLevel="1">
      <c r="A531" s="84">
        <v>49</v>
      </c>
      <c r="B531" s="85" t="s">
        <v>359</v>
      </c>
      <c r="C531" s="97" t="s">
        <v>360</v>
      </c>
      <c r="D531" s="85" t="s">
        <v>26</v>
      </c>
      <c r="E531" s="143">
        <f>SUM(E532:E538)</f>
        <v>1885.42</v>
      </c>
      <c r="F531" s="86">
        <v>0</v>
      </c>
      <c r="G531" s="87">
        <f>SUM(E531*F531)</f>
        <v>0</v>
      </c>
      <c r="H531" s="87">
        <v>0</v>
      </c>
      <c r="I531" s="87">
        <v>0</v>
      </c>
      <c r="J531" s="98">
        <v>0.00117</v>
      </c>
      <c r="K531" s="99">
        <f>SUM(E531*J531)</f>
        <v>2.2059414</v>
      </c>
      <c r="L531" s="195"/>
      <c r="M531" s="196">
        <f>SUM(E531*L531)</f>
        <v>0</v>
      </c>
      <c r="N531" s="474"/>
    </row>
    <row r="532" spans="1:14" s="189" customFormat="1" ht="12.75" hidden="1" outlineLevel="2">
      <c r="A532" s="100"/>
      <c r="B532" s="106"/>
      <c r="C532" s="102" t="s">
        <v>349</v>
      </c>
      <c r="D532" s="101"/>
      <c r="E532" s="144"/>
      <c r="F532" s="103"/>
      <c r="G532" s="103"/>
      <c r="H532" s="103"/>
      <c r="I532" s="103"/>
      <c r="J532" s="103"/>
      <c r="K532" s="103"/>
      <c r="L532" s="199"/>
      <c r="M532" s="199"/>
      <c r="N532" s="474"/>
    </row>
    <row r="533" spans="1:14" s="189" customFormat="1" ht="12.75" hidden="1" outlineLevel="2">
      <c r="A533" s="100"/>
      <c r="B533" s="106"/>
      <c r="C533" s="102" t="s">
        <v>1203</v>
      </c>
      <c r="D533" s="101"/>
      <c r="E533" s="144">
        <f>69.27+20.92+87.83+17.16+36.9+43.74+37.44+37.33+67.71</f>
        <v>418.29999999999995</v>
      </c>
      <c r="F533" s="103"/>
      <c r="G533" s="103"/>
      <c r="H533" s="103"/>
      <c r="I533" s="103"/>
      <c r="J533" s="103"/>
      <c r="K533" s="103"/>
      <c r="L533" s="199"/>
      <c r="M533" s="199"/>
      <c r="N533" s="474"/>
    </row>
    <row r="534" spans="1:14" s="189" customFormat="1" ht="12.75" hidden="1" outlineLevel="2">
      <c r="A534" s="100"/>
      <c r="B534" s="106"/>
      <c r="C534" s="102" t="s">
        <v>350</v>
      </c>
      <c r="D534" s="101"/>
      <c r="E534" s="144"/>
      <c r="F534" s="103"/>
      <c r="G534" s="103"/>
      <c r="H534" s="103"/>
      <c r="I534" s="103"/>
      <c r="J534" s="103"/>
      <c r="K534" s="103"/>
      <c r="L534" s="199"/>
      <c r="M534" s="199"/>
      <c r="N534" s="474"/>
    </row>
    <row r="535" spans="1:14" s="189" customFormat="1" ht="12.75" hidden="1" outlineLevel="2">
      <c r="A535" s="100"/>
      <c r="B535" s="106"/>
      <c r="C535" s="488" t="s">
        <v>1706</v>
      </c>
      <c r="E535" s="144">
        <v>102.59</v>
      </c>
      <c r="F535" s="103"/>
      <c r="G535" s="103"/>
      <c r="H535" s="103"/>
      <c r="I535" s="103"/>
      <c r="J535" s="103"/>
      <c r="K535" s="103"/>
      <c r="L535" s="199"/>
      <c r="M535" s="199"/>
      <c r="N535" s="474"/>
    </row>
    <row r="536" spans="1:14" s="189" customFormat="1" ht="12.75" hidden="1" outlineLevel="2">
      <c r="A536" s="100"/>
      <c r="B536" s="106"/>
      <c r="C536" s="102" t="s">
        <v>1204</v>
      </c>
      <c r="D536" s="101"/>
      <c r="E536" s="144">
        <f>14.01+14.16+5.18+83.25+253.84+18.83+129.83+108.63</f>
        <v>627.73</v>
      </c>
      <c r="F536" s="103"/>
      <c r="G536" s="103"/>
      <c r="H536" s="103"/>
      <c r="I536" s="103"/>
      <c r="J536" s="103"/>
      <c r="K536" s="103"/>
      <c r="L536" s="199"/>
      <c r="M536" s="199"/>
      <c r="N536" s="474"/>
    </row>
    <row r="537" spans="1:14" s="189" customFormat="1" ht="12.75" hidden="1" outlineLevel="2">
      <c r="A537" s="100"/>
      <c r="B537" s="106"/>
      <c r="C537" s="102" t="s">
        <v>1205</v>
      </c>
      <c r="D537" s="101"/>
      <c r="E537" s="144">
        <f>69.33+40.42+36.39+112.33+109.93</f>
        <v>368.4</v>
      </c>
      <c r="F537" s="103"/>
      <c r="G537" s="103"/>
      <c r="H537" s="103"/>
      <c r="I537" s="103"/>
      <c r="J537" s="103"/>
      <c r="K537" s="103"/>
      <c r="L537" s="199"/>
      <c r="M537" s="199"/>
      <c r="N537" s="474"/>
    </row>
    <row r="538" spans="1:14" s="189" customFormat="1" ht="12.75" hidden="1" outlineLevel="2">
      <c r="A538" s="100"/>
      <c r="B538" s="106"/>
      <c r="C538" s="102" t="s">
        <v>1206</v>
      </c>
      <c r="D538" s="101"/>
      <c r="E538" s="144">
        <f>69.33+40.42+36.39+112.33+109.93</f>
        <v>368.4</v>
      </c>
      <c r="F538" s="103"/>
      <c r="G538" s="103"/>
      <c r="H538" s="103"/>
      <c r="I538" s="103"/>
      <c r="J538" s="103"/>
      <c r="K538" s="103"/>
      <c r="L538" s="199"/>
      <c r="M538" s="199"/>
      <c r="N538" s="474"/>
    </row>
    <row r="539" spans="1:14" s="189" customFormat="1" ht="12.75" outlineLevel="1" collapsed="1">
      <c r="A539" s="84">
        <v>50</v>
      </c>
      <c r="B539" s="85" t="s">
        <v>1705</v>
      </c>
      <c r="C539" s="97" t="s">
        <v>1707</v>
      </c>
      <c r="D539" s="85" t="s">
        <v>26</v>
      </c>
      <c r="E539" s="143">
        <f>SUM(E540:E541)</f>
        <v>107.71950000000001</v>
      </c>
      <c r="F539" s="86">
        <v>0</v>
      </c>
      <c r="G539" s="87">
        <f>SUM(E539*F539)</f>
        <v>0</v>
      </c>
      <c r="H539" s="87">
        <v>0</v>
      </c>
      <c r="I539" s="87">
        <v>0</v>
      </c>
      <c r="J539" s="98">
        <v>0.00261</v>
      </c>
      <c r="K539" s="99">
        <f>SUM(E539*J539)</f>
        <v>0.28114789500000004</v>
      </c>
      <c r="L539" s="195"/>
      <c r="M539" s="196">
        <f>SUM(E539*L539)</f>
        <v>0</v>
      </c>
      <c r="N539" s="474"/>
    </row>
    <row r="540" spans="1:14" s="189" customFormat="1" ht="12.75" hidden="1" outlineLevel="2">
      <c r="A540" s="100"/>
      <c r="B540" s="106"/>
      <c r="C540" s="102" t="s">
        <v>350</v>
      </c>
      <c r="D540" s="101"/>
      <c r="E540" s="144"/>
      <c r="F540" s="103"/>
      <c r="G540" s="103"/>
      <c r="H540" s="103"/>
      <c r="I540" s="103"/>
      <c r="J540" s="103"/>
      <c r="K540" s="103"/>
      <c r="L540" s="199"/>
      <c r="M540" s="199"/>
      <c r="N540" s="474"/>
    </row>
    <row r="541" spans="3:14" s="189" customFormat="1" ht="12.75" hidden="1" outlineLevel="2">
      <c r="C541" s="488" t="s">
        <v>1708</v>
      </c>
      <c r="E541" s="144">
        <f>102.59*1.05</f>
        <v>107.71950000000001</v>
      </c>
      <c r="N541" s="474"/>
    </row>
    <row r="542" spans="1:13" ht="12.75" outlineLevel="1" collapsed="1">
      <c r="A542" s="84">
        <v>51</v>
      </c>
      <c r="B542" s="85" t="s">
        <v>361</v>
      </c>
      <c r="C542" s="97" t="s">
        <v>362</v>
      </c>
      <c r="D542" s="85" t="s">
        <v>26</v>
      </c>
      <c r="E542" s="143">
        <f>SUM(E543:E546)</f>
        <v>1871.9715</v>
      </c>
      <c r="F542" s="86">
        <v>0</v>
      </c>
      <c r="G542" s="87">
        <f>SUM(E542*F542)</f>
        <v>0</v>
      </c>
      <c r="H542" s="87">
        <v>0</v>
      </c>
      <c r="I542" s="87">
        <v>0</v>
      </c>
      <c r="J542" s="98">
        <v>0.00261</v>
      </c>
      <c r="K542" s="99">
        <f>SUM(E542*J542)</f>
        <v>4.885845615</v>
      </c>
      <c r="L542" s="195"/>
      <c r="M542" s="196">
        <f>SUM(E542*L542)</f>
        <v>0</v>
      </c>
    </row>
    <row r="543" spans="1:13" ht="12.75" hidden="1" outlineLevel="2">
      <c r="A543" s="100"/>
      <c r="B543" s="106"/>
      <c r="C543" s="102" t="s">
        <v>1207</v>
      </c>
      <c r="D543" s="101"/>
      <c r="E543" s="144">
        <f>418.3*1.05</f>
        <v>439.21500000000003</v>
      </c>
      <c r="F543" s="103"/>
      <c r="G543" s="103"/>
      <c r="H543" s="103"/>
      <c r="I543" s="103"/>
      <c r="J543" s="103"/>
      <c r="K543" s="103"/>
      <c r="L543" s="199"/>
      <c r="M543" s="199"/>
    </row>
    <row r="544" spans="1:13" ht="12.75" hidden="1" outlineLevel="2">
      <c r="A544" s="100"/>
      <c r="B544" s="106"/>
      <c r="C544" s="102" t="s">
        <v>1208</v>
      </c>
      <c r="D544" s="101"/>
      <c r="E544" s="144">
        <f>627.73*1.05</f>
        <v>659.1165000000001</v>
      </c>
      <c r="F544" s="103"/>
      <c r="G544" s="103"/>
      <c r="H544" s="103"/>
      <c r="I544" s="103"/>
      <c r="J544" s="103"/>
      <c r="K544" s="103"/>
      <c r="L544" s="199"/>
      <c r="M544" s="199"/>
    </row>
    <row r="545" spans="1:13" ht="12.75" hidden="1" outlineLevel="2">
      <c r="A545" s="100"/>
      <c r="B545" s="106"/>
      <c r="C545" s="102" t="s">
        <v>1209</v>
      </c>
      <c r="D545" s="101"/>
      <c r="E545" s="144">
        <f>368.4*1.05</f>
        <v>386.82</v>
      </c>
      <c r="F545" s="103"/>
      <c r="G545" s="103"/>
      <c r="H545" s="103"/>
      <c r="I545" s="103"/>
      <c r="J545" s="103"/>
      <c r="K545" s="103"/>
      <c r="L545" s="199"/>
      <c r="M545" s="199"/>
    </row>
    <row r="546" spans="1:13" ht="12.75" hidden="1" outlineLevel="2">
      <c r="A546" s="100"/>
      <c r="B546" s="106"/>
      <c r="C546" s="102" t="s">
        <v>1210</v>
      </c>
      <c r="D546" s="101"/>
      <c r="E546" s="144">
        <f>368.4*1.05</f>
        <v>386.82</v>
      </c>
      <c r="F546" s="103"/>
      <c r="G546" s="103"/>
      <c r="H546" s="103"/>
      <c r="I546" s="103"/>
      <c r="J546" s="103"/>
      <c r="K546" s="103"/>
      <c r="L546" s="199"/>
      <c r="M546" s="199"/>
    </row>
    <row r="547" spans="1:14" s="189" customFormat="1" ht="12.75" outlineLevel="1" collapsed="1">
      <c r="A547" s="84">
        <v>52</v>
      </c>
      <c r="B547" s="85" t="s">
        <v>363</v>
      </c>
      <c r="C547" s="97" t="s">
        <v>364</v>
      </c>
      <c r="D547" s="85" t="s">
        <v>26</v>
      </c>
      <c r="E547" s="143">
        <f>SUM(E549:E553)</f>
        <v>2251.63</v>
      </c>
      <c r="F547" s="86">
        <v>0</v>
      </c>
      <c r="G547" s="87">
        <f>SUM(E547*F547)</f>
        <v>0</v>
      </c>
      <c r="H547" s="87">
        <v>0</v>
      </c>
      <c r="I547" s="87">
        <v>0</v>
      </c>
      <c r="J547" s="98">
        <v>0.01223</v>
      </c>
      <c r="K547" s="99">
        <f>SUM(E547*J547)</f>
        <v>27.5374349</v>
      </c>
      <c r="L547" s="195"/>
      <c r="M547" s="196">
        <f>SUM(E547*L547)</f>
        <v>0</v>
      </c>
      <c r="N547" s="474"/>
    </row>
    <row r="548" spans="1:14" s="189" customFormat="1" ht="12.75" hidden="1" outlineLevel="2">
      <c r="A548" s="100"/>
      <c r="B548" s="106"/>
      <c r="C548" s="102" t="s">
        <v>350</v>
      </c>
      <c r="D548" s="101"/>
      <c r="E548" s="144"/>
      <c r="F548" s="103"/>
      <c r="G548" s="103"/>
      <c r="H548" s="103"/>
      <c r="I548" s="103"/>
      <c r="J548" s="103"/>
      <c r="K548" s="103"/>
      <c r="L548" s="199"/>
      <c r="M548" s="199"/>
      <c r="N548" s="474"/>
    </row>
    <row r="549" spans="1:14" s="189" customFormat="1" ht="45" hidden="1" outlineLevel="2">
      <c r="A549" s="100"/>
      <c r="B549" s="106"/>
      <c r="C549" s="102" t="s">
        <v>1211</v>
      </c>
      <c r="D549" s="101"/>
      <c r="E549" s="144">
        <f>37.35+5.87+6.25+27.14+24.43+6.06+6.3+20.5+29.61+6.09+25.89+4.77+19.99+3.93+5.33+21.76+20.57+7.08+5.07+20.74+9.35+12.31+20.5+15.24+0.9+6.92+7.08+12.92+8.75+16.5+9.7+5.49+12.12+20.12+5.49+3.88+12.11+19.95+5.49+3.8+3.8+16.79+5.56+27.14+27.38+7.34+6.63+26.82+5.5+35.83+5.56+5.48+3.18+1.87+8.69+3.25+6.42</f>
        <v>710.5899999999999</v>
      </c>
      <c r="F549" s="103"/>
      <c r="G549" s="103"/>
      <c r="H549" s="103"/>
      <c r="I549" s="103"/>
      <c r="J549" s="103"/>
      <c r="K549" s="103"/>
      <c r="L549" s="199"/>
      <c r="M549" s="199"/>
      <c r="N549" s="474"/>
    </row>
    <row r="550" spans="1:14" s="189" customFormat="1" ht="12.75" hidden="1" outlineLevel="2">
      <c r="A550" s="100"/>
      <c r="B550" s="106"/>
      <c r="C550" s="102" t="s">
        <v>351</v>
      </c>
      <c r="D550" s="101"/>
      <c r="E550" s="144"/>
      <c r="F550" s="103"/>
      <c r="G550" s="103"/>
      <c r="H550" s="103"/>
      <c r="I550" s="103"/>
      <c r="J550" s="103"/>
      <c r="K550" s="103"/>
      <c r="L550" s="199"/>
      <c r="M550" s="199"/>
      <c r="N550" s="474"/>
    </row>
    <row r="551" spans="1:14" s="189" customFormat="1" ht="45" hidden="1" outlineLevel="2">
      <c r="A551" s="100"/>
      <c r="B551" s="106"/>
      <c r="C551" s="102" t="s">
        <v>1212</v>
      </c>
      <c r="D551" s="101"/>
      <c r="E551" s="144">
        <f>31.64+5.76+6.46+36.94+5.37+38.1+5.87+6.25+26.09+25.47+6.09+6.3+20.69+29.46+6.09+25.89+4.77+19.99+3.93+5.33+21.76+20.57+5.07+7.08+20.56+9.43+12.31+19.71+19.05+17.47+1.37+1.73+11.72+1.84+7.84+20.1+3.88+5.49+22.09+19.95+3.8+5.48+16.79+27.14+5.56+27.38+7.35+6.63+26.82+5.5+35.82+5.56+5.25+25.93</f>
        <v>770.52</v>
      </c>
      <c r="F551" s="103"/>
      <c r="G551" s="103"/>
      <c r="H551" s="103"/>
      <c r="I551" s="103"/>
      <c r="J551" s="103"/>
      <c r="K551" s="103"/>
      <c r="L551" s="199"/>
      <c r="M551" s="199"/>
      <c r="N551" s="474"/>
    </row>
    <row r="552" spans="1:14" s="189" customFormat="1" ht="12.75" hidden="1" outlineLevel="2">
      <c r="A552" s="100"/>
      <c r="B552" s="106"/>
      <c r="C552" s="102" t="s">
        <v>596</v>
      </c>
      <c r="D552" s="101"/>
      <c r="E552" s="144"/>
      <c r="F552" s="103"/>
      <c r="G552" s="103"/>
      <c r="H552" s="103"/>
      <c r="I552" s="103"/>
      <c r="J552" s="103"/>
      <c r="K552" s="103"/>
      <c r="L552" s="199"/>
      <c r="M552" s="199"/>
      <c r="N552" s="474"/>
    </row>
    <row r="553" spans="1:14" s="189" customFormat="1" ht="38.25" customHeight="1" hidden="1" outlineLevel="2">
      <c r="A553" s="100"/>
      <c r="B553" s="106"/>
      <c r="C553" s="102" t="s">
        <v>1212</v>
      </c>
      <c r="D553" s="101"/>
      <c r="E553" s="144">
        <f>31.64+5.76+6.46+36.94+5.37+38.1+5.87+6.25+26.09+25.47+6.09+6.3+20.69+29.46+6.09+25.89+4.77+19.99+3.93+5.33+21.76+20.57+5.07+7.08+20.56+9.43+12.31+19.71+19.05+17.47+1.37+1.73+11.72+1.84+7.84+20.1+3.88+5.49+22.09+19.95+3.8+5.48+16.79+27.14+5.56+27.38+7.35+6.63+26.82+5.5+35.82+5.56+5.25+25.93</f>
        <v>770.52</v>
      </c>
      <c r="F553" s="103"/>
      <c r="G553" s="103"/>
      <c r="H553" s="103"/>
      <c r="I553" s="103"/>
      <c r="J553" s="103"/>
      <c r="K553" s="103"/>
      <c r="L553" s="199"/>
      <c r="M553" s="199"/>
      <c r="N553" s="474"/>
    </row>
    <row r="554" spans="1:14" s="189" customFormat="1" ht="12.75" outlineLevel="1" collapsed="1">
      <c r="A554" s="84">
        <v>53</v>
      </c>
      <c r="B554" s="85" t="s">
        <v>1276</v>
      </c>
      <c r="C554" s="97" t="s">
        <v>1277</v>
      </c>
      <c r="D554" s="85" t="s">
        <v>26</v>
      </c>
      <c r="E554" s="143">
        <f>SUM(E556:E562)</f>
        <v>570.645</v>
      </c>
      <c r="F554" s="86">
        <v>0</v>
      </c>
      <c r="G554" s="87">
        <f>SUM(E554*F554)</f>
        <v>0</v>
      </c>
      <c r="H554" s="87">
        <v>0</v>
      </c>
      <c r="I554" s="87">
        <v>0</v>
      </c>
      <c r="J554" s="98">
        <v>0.05402</v>
      </c>
      <c r="K554" s="99">
        <f>SUM(E554*J554)</f>
        <v>30.826242899999997</v>
      </c>
      <c r="L554" s="195"/>
      <c r="M554" s="196">
        <f>SUM(E554*L554)</f>
        <v>0</v>
      </c>
      <c r="N554" s="474"/>
    </row>
    <row r="555" spans="1:14" s="189" customFormat="1" ht="12.75" hidden="1" outlineLevel="2">
      <c r="A555" s="100"/>
      <c r="B555" s="106"/>
      <c r="C555" s="102" t="s">
        <v>350</v>
      </c>
      <c r="D555" s="101"/>
      <c r="E555" s="144"/>
      <c r="F555" s="103"/>
      <c r="G555" s="103"/>
      <c r="H555" s="103"/>
      <c r="I555" s="103"/>
      <c r="J555" s="103"/>
      <c r="K555" s="103"/>
      <c r="L555" s="199"/>
      <c r="M555" s="199"/>
      <c r="N555" s="474"/>
    </row>
    <row r="556" spans="1:14" s="189" customFormat="1" ht="12.75" hidden="1" outlineLevel="2">
      <c r="A556" s="100"/>
      <c r="B556" s="106"/>
      <c r="C556" s="102" t="s">
        <v>1375</v>
      </c>
      <c r="D556" s="101"/>
      <c r="E556" s="144">
        <f>3*(3.7+6.4+3.7+6.4+3.7+3.4+3.325+3.675*3)</f>
        <v>124.94999999999999</v>
      </c>
      <c r="F556" s="103"/>
      <c r="G556" s="103"/>
      <c r="H556" s="103"/>
      <c r="I556" s="103"/>
      <c r="J556" s="103"/>
      <c r="K556" s="103"/>
      <c r="L556" s="199"/>
      <c r="M556" s="199"/>
      <c r="N556" s="474"/>
    </row>
    <row r="557" spans="1:14" s="189" customFormat="1" ht="12.75" hidden="1" outlineLevel="2">
      <c r="A557" s="100"/>
      <c r="B557" s="106"/>
      <c r="C557" s="102" t="s">
        <v>351</v>
      </c>
      <c r="D557" s="101"/>
      <c r="E557" s="144"/>
      <c r="F557" s="103"/>
      <c r="G557" s="103"/>
      <c r="H557" s="103"/>
      <c r="I557" s="103"/>
      <c r="J557" s="103"/>
      <c r="K557" s="103"/>
      <c r="L557" s="199"/>
      <c r="M557" s="199"/>
      <c r="N557" s="474"/>
    </row>
    <row r="558" spans="1:14" s="189" customFormat="1" ht="12.75" hidden="1" outlineLevel="2">
      <c r="A558" s="100"/>
      <c r="B558" s="106"/>
      <c r="C558" s="102" t="s">
        <v>1376</v>
      </c>
      <c r="D558" s="101"/>
      <c r="E558" s="144">
        <f>3*(3.7+6.4+3.7+6.4+3.7+3.7+6.4+3.4+3.325+3.7*3)</f>
        <v>155.47500000000002</v>
      </c>
      <c r="F558" s="103"/>
      <c r="G558" s="103"/>
      <c r="H558" s="103"/>
      <c r="I558" s="103"/>
      <c r="J558" s="103"/>
      <c r="K558" s="103"/>
      <c r="L558" s="199"/>
      <c r="M558" s="199"/>
      <c r="N558" s="474"/>
    </row>
    <row r="559" spans="1:14" s="189" customFormat="1" ht="12.75" hidden="1" outlineLevel="2">
      <c r="A559" s="100"/>
      <c r="B559" s="106"/>
      <c r="C559" s="102" t="s">
        <v>596</v>
      </c>
      <c r="D559" s="101"/>
      <c r="E559" s="144"/>
      <c r="F559" s="103"/>
      <c r="G559" s="103"/>
      <c r="H559" s="103"/>
      <c r="I559" s="103"/>
      <c r="J559" s="103"/>
      <c r="K559" s="103"/>
      <c r="L559" s="199"/>
      <c r="M559" s="199"/>
      <c r="N559" s="474"/>
    </row>
    <row r="560" spans="1:14" s="189" customFormat="1" ht="12.75" hidden="1" outlineLevel="2">
      <c r="A560" s="100"/>
      <c r="B560" s="106"/>
      <c r="C560" s="102" t="s">
        <v>1376</v>
      </c>
      <c r="D560" s="101"/>
      <c r="E560" s="144">
        <f>3*(3.7+6.4+3.7+6.4+3.7+3.7+6.4+3.4+3.325+3.7*3)</f>
        <v>155.47500000000002</v>
      </c>
      <c r="F560" s="103"/>
      <c r="G560" s="103"/>
      <c r="H560" s="103"/>
      <c r="I560" s="103"/>
      <c r="J560" s="103"/>
      <c r="K560" s="103"/>
      <c r="L560" s="199"/>
      <c r="M560" s="199"/>
      <c r="N560" s="474"/>
    </row>
    <row r="561" spans="1:14" s="189" customFormat="1" ht="12.75" hidden="1" outlineLevel="2">
      <c r="A561" s="100"/>
      <c r="B561" s="106"/>
      <c r="C561" s="102" t="s">
        <v>597</v>
      </c>
      <c r="D561" s="101"/>
      <c r="E561" s="144"/>
      <c r="F561" s="103"/>
      <c r="G561" s="103"/>
      <c r="H561" s="103"/>
      <c r="I561" s="103"/>
      <c r="J561" s="103"/>
      <c r="K561" s="103"/>
      <c r="L561" s="199"/>
      <c r="M561" s="199"/>
      <c r="N561" s="474"/>
    </row>
    <row r="562" spans="1:14" s="189" customFormat="1" ht="12.75" hidden="1" outlineLevel="2">
      <c r="A562" s="100"/>
      <c r="B562" s="106"/>
      <c r="C562" s="102" t="s">
        <v>1377</v>
      </c>
      <c r="D562" s="101"/>
      <c r="E562" s="144">
        <f>2.6*(3.7+6.4+3.7+6.4+3.7+3.7+6.4+3.4+3.325+3.7*3)</f>
        <v>134.745</v>
      </c>
      <c r="F562" s="103"/>
      <c r="G562" s="103"/>
      <c r="H562" s="103"/>
      <c r="I562" s="103"/>
      <c r="J562" s="103"/>
      <c r="K562" s="103"/>
      <c r="L562" s="199"/>
      <c r="M562" s="199"/>
      <c r="N562" s="474"/>
    </row>
    <row r="563" spans="1:14" s="189" customFormat="1" ht="12.75" outlineLevel="1" collapsed="1">
      <c r="A563" s="84">
        <v>54</v>
      </c>
      <c r="B563" s="85" t="s">
        <v>365</v>
      </c>
      <c r="C563" s="97" t="s">
        <v>366</v>
      </c>
      <c r="D563" s="85" t="s">
        <v>23</v>
      </c>
      <c r="E563" s="143">
        <v>1.62</v>
      </c>
      <c r="F563" s="86">
        <v>0</v>
      </c>
      <c r="G563" s="87">
        <f>SUM(E563*F563)</f>
        <v>0</v>
      </c>
      <c r="H563" s="87">
        <v>0</v>
      </c>
      <c r="I563" s="87">
        <v>0</v>
      </c>
      <c r="J563" s="98"/>
      <c r="K563" s="99">
        <f>SUM(E563*J563)</f>
        <v>0</v>
      </c>
      <c r="L563" s="195"/>
      <c r="M563" s="196">
        <f>SUM(E563*L563)</f>
        <v>0</v>
      </c>
      <c r="N563" s="474"/>
    </row>
    <row r="564" spans="1:14" s="189" customFormat="1" ht="12.75">
      <c r="A564" s="93"/>
      <c r="B564" s="105"/>
      <c r="C564" s="94" t="s">
        <v>612</v>
      </c>
      <c r="D564" s="83"/>
      <c r="E564" s="142"/>
      <c r="F564" s="95"/>
      <c r="G564" s="96">
        <f>SUM(G565:G593)</f>
        <v>0</v>
      </c>
      <c r="H564" s="96">
        <f>SUM(H565:H593)</f>
        <v>0</v>
      </c>
      <c r="I564" s="96">
        <f>SUM(I565:I593)</f>
        <v>0</v>
      </c>
      <c r="J564" s="96"/>
      <c r="K564" s="96">
        <f>SUM(K565:K593)</f>
        <v>0</v>
      </c>
      <c r="L564" s="205"/>
      <c r="M564" s="205">
        <f>SUM(M565:M593)</f>
        <v>0</v>
      </c>
      <c r="N564" s="474"/>
    </row>
    <row r="565" spans="1:14" s="189" customFormat="1" ht="12.75" outlineLevel="1">
      <c r="A565" s="84">
        <v>55</v>
      </c>
      <c r="B565" s="85" t="s">
        <v>613</v>
      </c>
      <c r="C565" s="97" t="s">
        <v>614</v>
      </c>
      <c r="D565" s="85" t="s">
        <v>25</v>
      </c>
      <c r="E565" s="143">
        <v>1</v>
      </c>
      <c r="F565" s="86">
        <v>0</v>
      </c>
      <c r="G565" s="87">
        <f>SUM(E565*F565)</f>
        <v>0</v>
      </c>
      <c r="H565" s="87">
        <v>0</v>
      </c>
      <c r="I565" s="87">
        <v>0</v>
      </c>
      <c r="J565" s="98"/>
      <c r="K565" s="99">
        <f>SUM(E565*J565)</f>
        <v>0</v>
      </c>
      <c r="L565" s="195"/>
      <c r="M565" s="196">
        <f>SUM(E565*L565)</f>
        <v>0</v>
      </c>
      <c r="N565" s="474"/>
    </row>
    <row r="566" spans="1:14" s="189" customFormat="1" ht="12.75" outlineLevel="1">
      <c r="A566" s="84">
        <v>56</v>
      </c>
      <c r="B566" s="85" t="s">
        <v>1214</v>
      </c>
      <c r="C566" s="97" t="s">
        <v>616</v>
      </c>
      <c r="D566" s="85" t="s">
        <v>25</v>
      </c>
      <c r="E566" s="143">
        <v>22</v>
      </c>
      <c r="F566" s="86">
        <v>0</v>
      </c>
      <c r="G566" s="87">
        <f aca="true" t="shared" si="1" ref="G566:G572">SUM(E566*F566)</f>
        <v>0</v>
      </c>
      <c r="H566" s="87">
        <v>0</v>
      </c>
      <c r="I566" s="87">
        <v>0</v>
      </c>
      <c r="J566" s="98"/>
      <c r="K566" s="99">
        <f aca="true" t="shared" si="2" ref="K566:K572">SUM(E566*J566)</f>
        <v>0</v>
      </c>
      <c r="L566" s="195"/>
      <c r="M566" s="196">
        <f aca="true" t="shared" si="3" ref="M566:M572">SUM(E566*L566)</f>
        <v>0</v>
      </c>
      <c r="N566" s="474"/>
    </row>
    <row r="567" spans="1:14" s="189" customFormat="1" ht="12.75" outlineLevel="1">
      <c r="A567" s="84">
        <v>57</v>
      </c>
      <c r="B567" s="85" t="s">
        <v>615</v>
      </c>
      <c r="C567" s="97" t="s">
        <v>617</v>
      </c>
      <c r="D567" s="85" t="s">
        <v>25</v>
      </c>
      <c r="E567" s="143">
        <v>11</v>
      </c>
      <c r="F567" s="86">
        <v>0</v>
      </c>
      <c r="G567" s="87">
        <f t="shared" si="1"/>
        <v>0</v>
      </c>
      <c r="H567" s="87">
        <v>0</v>
      </c>
      <c r="I567" s="87">
        <v>0</v>
      </c>
      <c r="J567" s="98"/>
      <c r="K567" s="99">
        <f t="shared" si="2"/>
        <v>0</v>
      </c>
      <c r="L567" s="195"/>
      <c r="M567" s="196">
        <f t="shared" si="3"/>
        <v>0</v>
      </c>
      <c r="N567" s="474"/>
    </row>
    <row r="568" spans="1:14" s="189" customFormat="1" ht="12.75" outlineLevel="1">
      <c r="A568" s="84">
        <v>58</v>
      </c>
      <c r="B568" s="85" t="s">
        <v>1215</v>
      </c>
      <c r="C568" s="97" t="s">
        <v>618</v>
      </c>
      <c r="D568" s="85" t="s">
        <v>25</v>
      </c>
      <c r="E568" s="143">
        <v>70</v>
      </c>
      <c r="F568" s="86">
        <v>0</v>
      </c>
      <c r="G568" s="87">
        <f t="shared" si="1"/>
        <v>0</v>
      </c>
      <c r="H568" s="87">
        <v>0</v>
      </c>
      <c r="I568" s="87">
        <v>0</v>
      </c>
      <c r="J568" s="98"/>
      <c r="K568" s="99">
        <f t="shared" si="2"/>
        <v>0</v>
      </c>
      <c r="L568" s="195"/>
      <c r="M568" s="196">
        <f t="shared" si="3"/>
        <v>0</v>
      </c>
      <c r="N568" s="474"/>
    </row>
    <row r="569" spans="1:14" s="189" customFormat="1" ht="12.75" outlineLevel="1">
      <c r="A569" s="84">
        <v>59</v>
      </c>
      <c r="B569" s="85" t="s">
        <v>1216</v>
      </c>
      <c r="C569" s="97" t="s">
        <v>620</v>
      </c>
      <c r="D569" s="85" t="s">
        <v>25</v>
      </c>
      <c r="E569" s="143">
        <v>1</v>
      </c>
      <c r="F569" s="86">
        <v>0</v>
      </c>
      <c r="G569" s="87">
        <f t="shared" si="1"/>
        <v>0</v>
      </c>
      <c r="H569" s="87">
        <v>0</v>
      </c>
      <c r="I569" s="87">
        <v>0</v>
      </c>
      <c r="J569" s="98"/>
      <c r="K569" s="99">
        <f t="shared" si="2"/>
        <v>0</v>
      </c>
      <c r="L569" s="195"/>
      <c r="M569" s="196">
        <f t="shared" si="3"/>
        <v>0</v>
      </c>
      <c r="N569" s="474"/>
    </row>
    <row r="570" spans="1:14" s="189" customFormat="1" ht="12.75" outlineLevel="1">
      <c r="A570" s="84">
        <v>60</v>
      </c>
      <c r="B570" s="85" t="s">
        <v>619</v>
      </c>
      <c r="C570" s="392" t="s">
        <v>622</v>
      </c>
      <c r="D570" s="465" t="s">
        <v>25</v>
      </c>
      <c r="E570" s="285">
        <v>1</v>
      </c>
      <c r="F570" s="384">
        <v>0</v>
      </c>
      <c r="G570" s="477">
        <f t="shared" si="1"/>
        <v>0</v>
      </c>
      <c r="H570" s="87">
        <v>0</v>
      </c>
      <c r="I570" s="87">
        <v>0</v>
      </c>
      <c r="J570" s="98"/>
      <c r="K570" s="99">
        <f t="shared" si="2"/>
        <v>0</v>
      </c>
      <c r="L570" s="195"/>
      <c r="M570" s="196">
        <f t="shared" si="3"/>
        <v>0</v>
      </c>
      <c r="N570" s="474"/>
    </row>
    <row r="571" spans="1:14" s="189" customFormat="1" ht="12.75" outlineLevel="1">
      <c r="A571" s="466">
        <v>61</v>
      </c>
      <c r="B571" s="465" t="s">
        <v>621</v>
      </c>
      <c r="C571" s="392" t="s">
        <v>1687</v>
      </c>
      <c r="D571" s="465" t="s">
        <v>25</v>
      </c>
      <c r="E571" s="285">
        <v>1</v>
      </c>
      <c r="F571" s="384">
        <v>0</v>
      </c>
      <c r="G571" s="477">
        <f t="shared" si="1"/>
        <v>0</v>
      </c>
      <c r="H571" s="87">
        <v>0</v>
      </c>
      <c r="I571" s="87">
        <v>0</v>
      </c>
      <c r="J571" s="98"/>
      <c r="K571" s="99">
        <f t="shared" si="2"/>
        <v>0</v>
      </c>
      <c r="L571" s="195"/>
      <c r="M571" s="196">
        <f t="shared" si="3"/>
        <v>0</v>
      </c>
      <c r="N571" s="473"/>
    </row>
    <row r="572" spans="1:14" s="189" customFormat="1" ht="12.75" outlineLevel="1">
      <c r="A572" s="84">
        <v>62</v>
      </c>
      <c r="B572" s="85" t="s">
        <v>623</v>
      </c>
      <c r="C572" s="392" t="s">
        <v>624</v>
      </c>
      <c r="D572" s="465" t="s">
        <v>25</v>
      </c>
      <c r="E572" s="285">
        <v>7</v>
      </c>
      <c r="F572" s="384">
        <v>0</v>
      </c>
      <c r="G572" s="477">
        <f t="shared" si="1"/>
        <v>0</v>
      </c>
      <c r="H572" s="87">
        <v>0</v>
      </c>
      <c r="I572" s="87">
        <v>0</v>
      </c>
      <c r="J572" s="98"/>
      <c r="K572" s="99">
        <f t="shared" si="2"/>
        <v>0</v>
      </c>
      <c r="L572" s="195"/>
      <c r="M572" s="196">
        <f t="shared" si="3"/>
        <v>0</v>
      </c>
      <c r="N572" s="474"/>
    </row>
    <row r="573" spans="1:14" s="189" customFormat="1" ht="12.75" outlineLevel="1">
      <c r="A573" s="84">
        <v>63</v>
      </c>
      <c r="B573" s="465" t="s">
        <v>1217</v>
      </c>
      <c r="C573" s="392" t="s">
        <v>626</v>
      </c>
      <c r="D573" s="465" t="s">
        <v>25</v>
      </c>
      <c r="E573" s="285">
        <v>46</v>
      </c>
      <c r="F573" s="384">
        <v>0</v>
      </c>
      <c r="G573" s="477">
        <f aca="true" t="shared" si="4" ref="G573:G578">SUM(E573*F573)</f>
        <v>0</v>
      </c>
      <c r="H573" s="87">
        <v>0</v>
      </c>
      <c r="I573" s="87">
        <v>0</v>
      </c>
      <c r="J573" s="98"/>
      <c r="K573" s="99">
        <f aca="true" t="shared" si="5" ref="K573:K578">SUM(E573*J573)</f>
        <v>0</v>
      </c>
      <c r="L573" s="195"/>
      <c r="M573" s="196">
        <f aca="true" t="shared" si="6" ref="M573:M578">SUM(E573*L573)</f>
        <v>0</v>
      </c>
      <c r="N573" s="474"/>
    </row>
    <row r="574" spans="1:14" s="189" customFormat="1" ht="12.75" outlineLevel="1">
      <c r="A574" s="84">
        <v>64</v>
      </c>
      <c r="B574" s="465" t="s">
        <v>625</v>
      </c>
      <c r="C574" s="392" t="s">
        <v>1688</v>
      </c>
      <c r="D574" s="465" t="s">
        <v>25</v>
      </c>
      <c r="E574" s="285">
        <v>3</v>
      </c>
      <c r="F574" s="384">
        <v>0</v>
      </c>
      <c r="G574" s="477">
        <f t="shared" si="4"/>
        <v>0</v>
      </c>
      <c r="H574" s="87">
        <v>0</v>
      </c>
      <c r="I574" s="87">
        <v>0</v>
      </c>
      <c r="J574" s="98"/>
      <c r="K574" s="99">
        <f t="shared" si="5"/>
        <v>0</v>
      </c>
      <c r="L574" s="195"/>
      <c r="M574" s="196">
        <f t="shared" si="6"/>
        <v>0</v>
      </c>
      <c r="N574" s="473"/>
    </row>
    <row r="575" spans="1:14" s="189" customFormat="1" ht="12.75" outlineLevel="1">
      <c r="A575" s="84">
        <v>65</v>
      </c>
      <c r="B575" s="465" t="s">
        <v>1218</v>
      </c>
      <c r="C575" s="392" t="s">
        <v>627</v>
      </c>
      <c r="D575" s="465" t="s">
        <v>25</v>
      </c>
      <c r="E575" s="285">
        <v>5</v>
      </c>
      <c r="F575" s="384">
        <v>0</v>
      </c>
      <c r="G575" s="477">
        <f t="shared" si="4"/>
        <v>0</v>
      </c>
      <c r="H575" s="87">
        <v>0</v>
      </c>
      <c r="I575" s="87">
        <v>0</v>
      </c>
      <c r="J575" s="98"/>
      <c r="K575" s="99">
        <f t="shared" si="5"/>
        <v>0</v>
      </c>
      <c r="L575" s="195"/>
      <c r="M575" s="196">
        <f t="shared" si="6"/>
        <v>0</v>
      </c>
      <c r="N575" s="474"/>
    </row>
    <row r="576" spans="1:14" s="189" customFormat="1" ht="12.75" outlineLevel="1">
      <c r="A576" s="84">
        <v>66</v>
      </c>
      <c r="B576" s="465" t="s">
        <v>1219</v>
      </c>
      <c r="C576" s="392" t="s">
        <v>628</v>
      </c>
      <c r="D576" s="465" t="s">
        <v>25</v>
      </c>
      <c r="E576" s="285">
        <v>27</v>
      </c>
      <c r="F576" s="384">
        <v>0</v>
      </c>
      <c r="G576" s="477">
        <f t="shared" si="4"/>
        <v>0</v>
      </c>
      <c r="H576" s="87">
        <v>0</v>
      </c>
      <c r="I576" s="87">
        <v>0</v>
      </c>
      <c r="J576" s="98"/>
      <c r="K576" s="99">
        <f t="shared" si="5"/>
        <v>0</v>
      </c>
      <c r="L576" s="195"/>
      <c r="M576" s="196">
        <f t="shared" si="6"/>
        <v>0</v>
      </c>
      <c r="N576" s="474"/>
    </row>
    <row r="577" spans="1:14" s="189" customFormat="1" ht="12.75" outlineLevel="1">
      <c r="A577" s="84">
        <v>67</v>
      </c>
      <c r="B577" s="465" t="s">
        <v>1220</v>
      </c>
      <c r="C577" s="97" t="s">
        <v>629</v>
      </c>
      <c r="D577" s="465" t="s">
        <v>25</v>
      </c>
      <c r="E577" s="285">
        <v>22</v>
      </c>
      <c r="F577" s="384">
        <v>0</v>
      </c>
      <c r="G577" s="477">
        <f t="shared" si="4"/>
        <v>0</v>
      </c>
      <c r="H577" s="87">
        <v>0</v>
      </c>
      <c r="I577" s="87">
        <v>0</v>
      </c>
      <c r="J577" s="98"/>
      <c r="K577" s="99">
        <f t="shared" si="5"/>
        <v>0</v>
      </c>
      <c r="L577" s="195"/>
      <c r="M577" s="196">
        <f t="shared" si="6"/>
        <v>0</v>
      </c>
      <c r="N577" s="474"/>
    </row>
    <row r="578" spans="1:14" s="189" customFormat="1" ht="12.75" outlineLevel="1">
      <c r="A578" s="84">
        <v>68</v>
      </c>
      <c r="B578" s="465" t="s">
        <v>1221</v>
      </c>
      <c r="C578" s="97" t="s">
        <v>630</v>
      </c>
      <c r="D578" s="85" t="s">
        <v>25</v>
      </c>
      <c r="E578" s="143">
        <v>77</v>
      </c>
      <c r="F578" s="86">
        <v>0</v>
      </c>
      <c r="G578" s="87">
        <f t="shared" si="4"/>
        <v>0</v>
      </c>
      <c r="H578" s="87">
        <v>0</v>
      </c>
      <c r="I578" s="87">
        <v>0</v>
      </c>
      <c r="J578" s="98"/>
      <c r="K578" s="99">
        <f t="shared" si="5"/>
        <v>0</v>
      </c>
      <c r="L578" s="195"/>
      <c r="M578" s="196">
        <f t="shared" si="6"/>
        <v>0</v>
      </c>
      <c r="N578" s="474"/>
    </row>
    <row r="579" spans="1:14" s="189" customFormat="1" ht="12.75" outlineLevel="1">
      <c r="A579" s="84">
        <v>69</v>
      </c>
      <c r="B579" s="465" t="s">
        <v>1222</v>
      </c>
      <c r="C579" s="97" t="s">
        <v>631</v>
      </c>
      <c r="D579" s="85" t="s">
        <v>25</v>
      </c>
      <c r="E579" s="143">
        <v>2</v>
      </c>
      <c r="F579" s="86">
        <v>0</v>
      </c>
      <c r="G579" s="87">
        <f aca="true" t="shared" si="7" ref="G579:G590">SUM(E579*F579)</f>
        <v>0</v>
      </c>
      <c r="H579" s="87">
        <v>0</v>
      </c>
      <c r="I579" s="87">
        <v>0</v>
      </c>
      <c r="J579" s="98"/>
      <c r="K579" s="99">
        <f aca="true" t="shared" si="8" ref="K579:K590">SUM(E579*J579)</f>
        <v>0</v>
      </c>
      <c r="L579" s="195"/>
      <c r="M579" s="196">
        <f aca="true" t="shared" si="9" ref="M579:M590">SUM(E579*L579)</f>
        <v>0</v>
      </c>
      <c r="N579" s="474"/>
    </row>
    <row r="580" spans="1:14" s="189" customFormat="1" ht="12.75" outlineLevel="1">
      <c r="A580" s="84">
        <v>70</v>
      </c>
      <c r="B580" s="465" t="s">
        <v>1223</v>
      </c>
      <c r="C580" s="97" t="s">
        <v>632</v>
      </c>
      <c r="D580" s="85" t="s">
        <v>25</v>
      </c>
      <c r="E580" s="143">
        <v>2</v>
      </c>
      <c r="F580" s="86">
        <v>0</v>
      </c>
      <c r="G580" s="87">
        <f t="shared" si="7"/>
        <v>0</v>
      </c>
      <c r="H580" s="87">
        <v>0</v>
      </c>
      <c r="I580" s="87">
        <v>0</v>
      </c>
      <c r="J580" s="98"/>
      <c r="K580" s="99">
        <f t="shared" si="8"/>
        <v>0</v>
      </c>
      <c r="L580" s="195"/>
      <c r="M580" s="196">
        <f t="shared" si="9"/>
        <v>0</v>
      </c>
      <c r="N580" s="473"/>
    </row>
    <row r="581" spans="1:14" s="189" customFormat="1" ht="12.75" outlineLevel="1">
      <c r="A581" s="84">
        <v>71</v>
      </c>
      <c r="B581" s="465" t="s">
        <v>1224</v>
      </c>
      <c r="C581" s="97" t="s">
        <v>633</v>
      </c>
      <c r="D581" s="85" t="s">
        <v>25</v>
      </c>
      <c r="E581" s="143">
        <v>1</v>
      </c>
      <c r="F581" s="86">
        <v>0</v>
      </c>
      <c r="G581" s="87">
        <f t="shared" si="7"/>
        <v>0</v>
      </c>
      <c r="H581" s="87">
        <v>0</v>
      </c>
      <c r="I581" s="87">
        <v>0</v>
      </c>
      <c r="J581" s="98"/>
      <c r="K581" s="99">
        <f t="shared" si="8"/>
        <v>0</v>
      </c>
      <c r="L581" s="195"/>
      <c r="M581" s="196">
        <f t="shared" si="9"/>
        <v>0</v>
      </c>
      <c r="N581" s="474"/>
    </row>
    <row r="582" spans="1:14" s="189" customFormat="1" ht="12.75" outlineLevel="1">
      <c r="A582" s="84">
        <v>72</v>
      </c>
      <c r="B582" s="465" t="s">
        <v>1225</v>
      </c>
      <c r="C582" s="97" t="s">
        <v>634</v>
      </c>
      <c r="D582" s="85" t="s">
        <v>25</v>
      </c>
      <c r="E582" s="143">
        <v>12</v>
      </c>
      <c r="F582" s="86">
        <v>0</v>
      </c>
      <c r="G582" s="87">
        <f t="shared" si="7"/>
        <v>0</v>
      </c>
      <c r="H582" s="87">
        <v>0</v>
      </c>
      <c r="I582" s="87">
        <v>0</v>
      </c>
      <c r="J582" s="98"/>
      <c r="K582" s="99">
        <f t="shared" si="8"/>
        <v>0</v>
      </c>
      <c r="L582" s="195"/>
      <c r="M582" s="196">
        <f t="shared" si="9"/>
        <v>0</v>
      </c>
      <c r="N582" s="474"/>
    </row>
    <row r="583" spans="1:14" s="189" customFormat="1" ht="12.75" outlineLevel="1">
      <c r="A583" s="84">
        <v>73</v>
      </c>
      <c r="B583" s="465" t="s">
        <v>1226</v>
      </c>
      <c r="C583" s="97" t="s">
        <v>635</v>
      </c>
      <c r="D583" s="85" t="s">
        <v>25</v>
      </c>
      <c r="E583" s="143">
        <v>5</v>
      </c>
      <c r="F583" s="86">
        <v>0</v>
      </c>
      <c r="G583" s="87">
        <f t="shared" si="7"/>
        <v>0</v>
      </c>
      <c r="H583" s="87">
        <v>0</v>
      </c>
      <c r="I583" s="87">
        <v>0</v>
      </c>
      <c r="J583" s="98"/>
      <c r="K583" s="99">
        <f t="shared" si="8"/>
        <v>0</v>
      </c>
      <c r="L583" s="195"/>
      <c r="M583" s="196">
        <f t="shared" si="9"/>
        <v>0</v>
      </c>
      <c r="N583" s="474"/>
    </row>
    <row r="584" spans="1:14" s="189" customFormat="1" ht="12.75" outlineLevel="1">
      <c r="A584" s="84">
        <v>74</v>
      </c>
      <c r="B584" s="465" t="s">
        <v>1227</v>
      </c>
      <c r="C584" s="97" t="s">
        <v>636</v>
      </c>
      <c r="D584" s="85" t="s">
        <v>25</v>
      </c>
      <c r="E584" s="143">
        <v>5</v>
      </c>
      <c r="F584" s="86">
        <v>0</v>
      </c>
      <c r="G584" s="87">
        <f t="shared" si="7"/>
        <v>0</v>
      </c>
      <c r="H584" s="87">
        <v>0</v>
      </c>
      <c r="I584" s="87">
        <v>0</v>
      </c>
      <c r="J584" s="98"/>
      <c r="K584" s="99">
        <f t="shared" si="8"/>
        <v>0</v>
      </c>
      <c r="L584" s="195"/>
      <c r="M584" s="196">
        <f t="shared" si="9"/>
        <v>0</v>
      </c>
      <c r="N584" s="474"/>
    </row>
    <row r="585" spans="1:14" s="189" customFormat="1" ht="12.75" outlineLevel="1">
      <c r="A585" s="84">
        <v>75</v>
      </c>
      <c r="B585" s="465" t="s">
        <v>1228</v>
      </c>
      <c r="C585" s="97" t="s">
        <v>637</v>
      </c>
      <c r="D585" s="85" t="s">
        <v>25</v>
      </c>
      <c r="E585" s="143">
        <v>5</v>
      </c>
      <c r="F585" s="86">
        <v>0</v>
      </c>
      <c r="G585" s="87">
        <f t="shared" si="7"/>
        <v>0</v>
      </c>
      <c r="H585" s="87">
        <v>0</v>
      </c>
      <c r="I585" s="87">
        <v>0</v>
      </c>
      <c r="J585" s="98"/>
      <c r="K585" s="99">
        <f t="shared" si="8"/>
        <v>0</v>
      </c>
      <c r="L585" s="195"/>
      <c r="M585" s="196">
        <f t="shared" si="9"/>
        <v>0</v>
      </c>
      <c r="N585" s="474"/>
    </row>
    <row r="586" spans="1:14" s="189" customFormat="1" ht="12.75" outlineLevel="1">
      <c r="A586" s="84">
        <v>76</v>
      </c>
      <c r="B586" s="465" t="s">
        <v>1229</v>
      </c>
      <c r="C586" s="97" t="s">
        <v>639</v>
      </c>
      <c r="D586" s="85" t="s">
        <v>25</v>
      </c>
      <c r="E586" s="143">
        <v>1</v>
      </c>
      <c r="F586" s="86">
        <v>0</v>
      </c>
      <c r="G586" s="87">
        <f>SUM(E586*F586)</f>
        <v>0</v>
      </c>
      <c r="H586" s="87">
        <v>0</v>
      </c>
      <c r="I586" s="87">
        <v>0</v>
      </c>
      <c r="J586" s="98"/>
      <c r="K586" s="99">
        <f>SUM(E586*J586)</f>
        <v>0</v>
      </c>
      <c r="L586" s="195"/>
      <c r="M586" s="196">
        <f>SUM(E586*L586)</f>
        <v>0</v>
      </c>
      <c r="N586" s="474"/>
    </row>
    <row r="587" spans="1:14" s="189" customFormat="1" ht="12.75" outlineLevel="1">
      <c r="A587" s="84">
        <v>77</v>
      </c>
      <c r="B587" s="465" t="s">
        <v>638</v>
      </c>
      <c r="C587" s="97" t="s">
        <v>1213</v>
      </c>
      <c r="D587" s="85" t="s">
        <v>25</v>
      </c>
      <c r="E587" s="143">
        <v>1</v>
      </c>
      <c r="F587" s="86">
        <v>0</v>
      </c>
      <c r="G587" s="87">
        <f>SUM(E587*F587)</f>
        <v>0</v>
      </c>
      <c r="H587" s="87">
        <v>0</v>
      </c>
      <c r="I587" s="87">
        <v>0</v>
      </c>
      <c r="J587" s="98"/>
      <c r="K587" s="99">
        <f>SUM(E587*J587)</f>
        <v>0</v>
      </c>
      <c r="L587" s="195"/>
      <c r="M587" s="196">
        <f>SUM(E587*L587)</f>
        <v>0</v>
      </c>
      <c r="N587" s="474"/>
    </row>
    <row r="588" spans="1:14" s="189" customFormat="1" ht="12.75" outlineLevel="1">
      <c r="A588" s="84">
        <v>78</v>
      </c>
      <c r="B588" s="465" t="s">
        <v>1231</v>
      </c>
      <c r="C588" s="392" t="s">
        <v>1691</v>
      </c>
      <c r="D588" s="465" t="s">
        <v>25</v>
      </c>
      <c r="E588" s="285">
        <v>1</v>
      </c>
      <c r="F588" s="384">
        <v>0</v>
      </c>
      <c r="G588" s="477">
        <f t="shared" si="7"/>
        <v>0</v>
      </c>
      <c r="H588" s="87">
        <v>0</v>
      </c>
      <c r="I588" s="87">
        <v>0</v>
      </c>
      <c r="J588" s="98"/>
      <c r="K588" s="99">
        <f t="shared" si="8"/>
        <v>0</v>
      </c>
      <c r="L588" s="195"/>
      <c r="M588" s="196">
        <f t="shared" si="9"/>
        <v>0</v>
      </c>
      <c r="N588" s="473"/>
    </row>
    <row r="589" spans="1:14" s="189" customFormat="1" ht="12.75" outlineLevel="1">
      <c r="A589" s="84">
        <v>79</v>
      </c>
      <c r="B589" s="465" t="s">
        <v>1232</v>
      </c>
      <c r="C589" s="392" t="s">
        <v>1692</v>
      </c>
      <c r="D589" s="465" t="s">
        <v>25</v>
      </c>
      <c r="E589" s="285">
        <v>1</v>
      </c>
      <c r="F589" s="384">
        <v>0</v>
      </c>
      <c r="G589" s="477">
        <f>SUM(E589*F589)</f>
        <v>0</v>
      </c>
      <c r="H589" s="87">
        <v>0</v>
      </c>
      <c r="I589" s="87">
        <v>0</v>
      </c>
      <c r="J589" s="98"/>
      <c r="K589" s="99">
        <f>SUM(E589*J589)</f>
        <v>0</v>
      </c>
      <c r="L589" s="195"/>
      <c r="M589" s="196">
        <f>SUM(E589*L589)</f>
        <v>0</v>
      </c>
      <c r="N589" s="473"/>
    </row>
    <row r="590" spans="1:14" s="189" customFormat="1" ht="14.25" customHeight="1" outlineLevel="1">
      <c r="A590" s="84">
        <v>80</v>
      </c>
      <c r="B590" s="465" t="s">
        <v>1233</v>
      </c>
      <c r="C590" s="392" t="s">
        <v>1689</v>
      </c>
      <c r="D590" s="465" t="s">
        <v>25</v>
      </c>
      <c r="E590" s="285">
        <v>1</v>
      </c>
      <c r="F590" s="384">
        <v>0</v>
      </c>
      <c r="G590" s="477">
        <f t="shared" si="7"/>
        <v>0</v>
      </c>
      <c r="H590" s="87">
        <v>0</v>
      </c>
      <c r="I590" s="87">
        <v>0</v>
      </c>
      <c r="J590" s="98"/>
      <c r="K590" s="99">
        <f t="shared" si="8"/>
        <v>0</v>
      </c>
      <c r="L590" s="195"/>
      <c r="M590" s="196">
        <f t="shared" si="9"/>
        <v>0</v>
      </c>
      <c r="N590" s="473"/>
    </row>
    <row r="591" spans="1:14" s="189" customFormat="1" ht="12.75" outlineLevel="1">
      <c r="A591" s="84">
        <v>81</v>
      </c>
      <c r="B591" s="465" t="s">
        <v>1690</v>
      </c>
      <c r="C591" s="97" t="s">
        <v>640</v>
      </c>
      <c r="D591" s="85" t="s">
        <v>182</v>
      </c>
      <c r="E591" s="143">
        <v>748</v>
      </c>
      <c r="F591" s="86">
        <v>0</v>
      </c>
      <c r="G591" s="87">
        <f>SUM(E591*F591)</f>
        <v>0</v>
      </c>
      <c r="H591" s="87">
        <v>0</v>
      </c>
      <c r="I591" s="87">
        <v>0</v>
      </c>
      <c r="J591" s="98"/>
      <c r="K591" s="99">
        <f>SUM(E591*J591)</f>
        <v>0</v>
      </c>
      <c r="L591" s="195"/>
      <c r="M591" s="196">
        <f>SUM(E591*L591)</f>
        <v>0</v>
      </c>
      <c r="N591" s="474"/>
    </row>
    <row r="592" spans="1:14" s="189" customFormat="1" ht="12.75" hidden="1" outlineLevel="2">
      <c r="A592" s="84"/>
      <c r="B592" s="85"/>
      <c r="C592" s="181" t="s">
        <v>1230</v>
      </c>
      <c r="D592" s="85"/>
      <c r="E592" s="143"/>
      <c r="F592" s="86"/>
      <c r="G592" s="87"/>
      <c r="H592" s="87"/>
      <c r="I592" s="87"/>
      <c r="J592" s="98"/>
      <c r="K592" s="99"/>
      <c r="L592" s="195"/>
      <c r="M592" s="196"/>
      <c r="N592" s="474"/>
    </row>
    <row r="593" spans="1:14" s="189" customFormat="1" ht="12.75" outlineLevel="1" collapsed="1">
      <c r="A593" s="84">
        <v>82</v>
      </c>
      <c r="B593" s="85" t="s">
        <v>641</v>
      </c>
      <c r="C593" s="97" t="s">
        <v>642</v>
      </c>
      <c r="D593" s="85" t="s">
        <v>23</v>
      </c>
      <c r="E593" s="143">
        <v>1.1</v>
      </c>
      <c r="F593" s="86">
        <v>0</v>
      </c>
      <c r="G593" s="87">
        <f>SUM(E593*F593)</f>
        <v>0</v>
      </c>
      <c r="H593" s="87">
        <v>0</v>
      </c>
      <c r="I593" s="87">
        <v>0</v>
      </c>
      <c r="J593" s="98"/>
      <c r="K593" s="99">
        <f>SUM(E593*J593)</f>
        <v>0</v>
      </c>
      <c r="L593" s="195"/>
      <c r="M593" s="196">
        <f>SUM(E593*L593)</f>
        <v>0</v>
      </c>
      <c r="N593" s="474"/>
    </row>
    <row r="594" spans="1:14" s="189" customFormat="1" ht="12.75">
      <c r="A594" s="201"/>
      <c r="B594" s="202"/>
      <c r="C594" s="489" t="s">
        <v>226</v>
      </c>
      <c r="D594" s="203"/>
      <c r="E594" s="142"/>
      <c r="F594" s="204"/>
      <c r="G594" s="205">
        <f>SUM(G595:G611)</f>
        <v>0</v>
      </c>
      <c r="H594" s="205">
        <f>SUM(H595:H611)</f>
        <v>0</v>
      </c>
      <c r="I594" s="205">
        <f>SUM(I595:I611)</f>
        <v>0</v>
      </c>
      <c r="J594" s="205"/>
      <c r="K594" s="205">
        <f>SUM(K596:K611)</f>
        <v>0</v>
      </c>
      <c r="L594" s="205"/>
      <c r="M594" s="205">
        <f>SUM(M596:M611)</f>
        <v>0</v>
      </c>
      <c r="N594" s="473"/>
    </row>
    <row r="595" spans="1:19" ht="12.75" outlineLevel="1">
      <c r="A595" s="84">
        <v>83</v>
      </c>
      <c r="B595" s="85" t="s">
        <v>1373</v>
      </c>
      <c r="C595" s="97" t="s">
        <v>1111</v>
      </c>
      <c r="D595" s="85" t="s">
        <v>25</v>
      </c>
      <c r="E595" s="143">
        <v>2</v>
      </c>
      <c r="F595" s="384">
        <v>0</v>
      </c>
      <c r="G595" s="87">
        <f>SUM(E595*F595)</f>
        <v>0</v>
      </c>
      <c r="H595" s="87">
        <v>0</v>
      </c>
      <c r="I595" s="87">
        <v>0</v>
      </c>
      <c r="J595" s="98"/>
      <c r="K595" s="99">
        <f>SUM(E595*J595)</f>
        <v>0</v>
      </c>
      <c r="L595" s="195">
        <v>0.006</v>
      </c>
      <c r="M595" s="196">
        <f>SUM(E595*L595)</f>
        <v>0.012</v>
      </c>
      <c r="N595" s="473"/>
      <c r="S595" s="189"/>
    </row>
    <row r="596" spans="1:14" s="189" customFormat="1" ht="12.75" outlineLevel="1">
      <c r="A596" s="84">
        <v>84</v>
      </c>
      <c r="B596" s="85" t="s">
        <v>1374</v>
      </c>
      <c r="C596" s="97" t="s">
        <v>410</v>
      </c>
      <c r="D596" s="85" t="s">
        <v>25</v>
      </c>
      <c r="E596" s="143">
        <v>2</v>
      </c>
      <c r="F596" s="384">
        <v>0</v>
      </c>
      <c r="G596" s="87">
        <f>SUM(E596*F596)</f>
        <v>0</v>
      </c>
      <c r="H596" s="87">
        <v>0</v>
      </c>
      <c r="I596" s="87">
        <v>0</v>
      </c>
      <c r="J596" s="98"/>
      <c r="K596" s="99">
        <f>SUM(E596*J596)</f>
        <v>0</v>
      </c>
      <c r="L596" s="195"/>
      <c r="M596" s="196">
        <f>SUM(E596*L596)</f>
        <v>0</v>
      </c>
      <c r="N596" s="473"/>
    </row>
    <row r="597" spans="1:14" s="189" customFormat="1" ht="22.5" customHeight="1" hidden="1" outlineLevel="2">
      <c r="A597" s="84"/>
      <c r="B597" s="85"/>
      <c r="C597" s="181" t="s">
        <v>416</v>
      </c>
      <c r="D597" s="101"/>
      <c r="E597" s="101"/>
      <c r="F597" s="101"/>
      <c r="G597" s="101"/>
      <c r="H597" s="101"/>
      <c r="I597" s="101"/>
      <c r="J597" s="101"/>
      <c r="K597" s="101"/>
      <c r="L597" s="198"/>
      <c r="M597" s="198"/>
      <c r="N597" s="474"/>
    </row>
    <row r="598" spans="1:14" s="189" customFormat="1" ht="24.75" customHeight="1" hidden="1" outlineLevel="2">
      <c r="A598" s="84"/>
      <c r="B598" s="85"/>
      <c r="C598" s="181" t="s">
        <v>450</v>
      </c>
      <c r="D598" s="101"/>
      <c r="E598" s="101"/>
      <c r="F598" s="101"/>
      <c r="G598" s="101"/>
      <c r="H598" s="101"/>
      <c r="I598" s="101"/>
      <c r="J598" s="101"/>
      <c r="K598" s="101"/>
      <c r="L598" s="198"/>
      <c r="M598" s="198"/>
      <c r="N598" s="474"/>
    </row>
    <row r="599" spans="1:14" s="189" customFormat="1" ht="12.75" outlineLevel="1" collapsed="1">
      <c r="A599" s="84">
        <v>85</v>
      </c>
      <c r="B599" s="85" t="s">
        <v>409</v>
      </c>
      <c r="C599" s="97" t="s">
        <v>1112</v>
      </c>
      <c r="D599" s="85" t="s">
        <v>26</v>
      </c>
      <c r="E599" s="285">
        <v>2</v>
      </c>
      <c r="F599" s="86">
        <v>0</v>
      </c>
      <c r="G599" s="87">
        <f>SUM(E599*F599)</f>
        <v>0</v>
      </c>
      <c r="H599" s="87">
        <v>0</v>
      </c>
      <c r="I599" s="87">
        <v>0</v>
      </c>
      <c r="J599" s="98"/>
      <c r="K599" s="99">
        <f>SUM(E599*J599)</f>
        <v>0</v>
      </c>
      <c r="L599" s="195"/>
      <c r="M599" s="196">
        <f>SUM(E599*L599)</f>
        <v>0</v>
      </c>
      <c r="N599" s="473"/>
    </row>
    <row r="600" spans="1:14" s="189" customFormat="1" ht="12.75" outlineLevel="1">
      <c r="A600" s="84">
        <v>86</v>
      </c>
      <c r="B600" s="85" t="s">
        <v>1709</v>
      </c>
      <c r="C600" s="97" t="s">
        <v>1710</v>
      </c>
      <c r="D600" s="85" t="s">
        <v>55</v>
      </c>
      <c r="E600" s="143">
        <v>250</v>
      </c>
      <c r="F600" s="86">
        <v>0</v>
      </c>
      <c r="G600" s="87">
        <f>SUM(E600*F600)</f>
        <v>0</v>
      </c>
      <c r="H600" s="87">
        <v>0</v>
      </c>
      <c r="I600" s="87">
        <v>0</v>
      </c>
      <c r="J600" s="98"/>
      <c r="K600" s="99">
        <f>SUM(E600*J600)</f>
        <v>0</v>
      </c>
      <c r="L600" s="195"/>
      <c r="M600" s="196">
        <f>SUM(E600*L600)</f>
        <v>0</v>
      </c>
      <c r="N600" s="473"/>
    </row>
    <row r="601" spans="1:14" s="189" customFormat="1" ht="12.75" hidden="1" outlineLevel="2">
      <c r="A601" s="467"/>
      <c r="B601" s="468"/>
      <c r="C601" s="181" t="s">
        <v>1711</v>
      </c>
      <c r="D601" s="468"/>
      <c r="E601" s="469"/>
      <c r="F601" s="470"/>
      <c r="G601" s="471"/>
      <c r="H601" s="471"/>
      <c r="I601" s="471"/>
      <c r="J601" s="98"/>
      <c r="K601" s="99"/>
      <c r="L601" s="195"/>
      <c r="M601" s="196"/>
      <c r="N601" s="473"/>
    </row>
    <row r="602" spans="1:14" s="189" customFormat="1" ht="12.75" outlineLevel="1" collapsed="1">
      <c r="A602" s="84">
        <v>87</v>
      </c>
      <c r="B602" s="85" t="s">
        <v>1712</v>
      </c>
      <c r="C602" s="97" t="s">
        <v>1714</v>
      </c>
      <c r="D602" s="85" t="s">
        <v>55</v>
      </c>
      <c r="E602" s="143">
        <f>SUM(E603)</f>
        <v>1408.8</v>
      </c>
      <c r="F602" s="86">
        <v>0</v>
      </c>
      <c r="G602" s="87">
        <f>SUM(E602*F602)</f>
        <v>0</v>
      </c>
      <c r="H602" s="87">
        <v>0</v>
      </c>
      <c r="I602" s="87">
        <v>0</v>
      </c>
      <c r="J602" s="98"/>
      <c r="K602" s="99">
        <f>SUM(E602*J602)</f>
        <v>0</v>
      </c>
      <c r="L602" s="195"/>
      <c r="M602" s="196">
        <f>SUM(E602*L602)</f>
        <v>0</v>
      </c>
      <c r="N602" s="473"/>
    </row>
    <row r="603" spans="1:14" s="189" customFormat="1" ht="12.75" hidden="1" outlineLevel="2">
      <c r="A603" s="84"/>
      <c r="B603" s="468"/>
      <c r="C603" s="181" t="s">
        <v>1713</v>
      </c>
      <c r="D603" s="468"/>
      <c r="E603" s="144">
        <v>1408.8</v>
      </c>
      <c r="F603" s="470"/>
      <c r="G603" s="471"/>
      <c r="H603" s="471"/>
      <c r="I603" s="471"/>
      <c r="J603" s="98"/>
      <c r="K603" s="99"/>
      <c r="L603" s="195"/>
      <c r="M603" s="196"/>
      <c r="N603" s="473"/>
    </row>
    <row r="604" spans="1:14" s="189" customFormat="1" ht="12.75" outlineLevel="1" collapsed="1">
      <c r="A604" s="84">
        <v>88</v>
      </c>
      <c r="B604" s="85" t="s">
        <v>1715</v>
      </c>
      <c r="C604" s="97" t="s">
        <v>1716</v>
      </c>
      <c r="D604" s="85" t="s">
        <v>55</v>
      </c>
      <c r="E604" s="143">
        <f>E605</f>
        <v>149.8</v>
      </c>
      <c r="F604" s="86">
        <v>0</v>
      </c>
      <c r="G604" s="87">
        <f>SUM(E604*F604)</f>
        <v>0</v>
      </c>
      <c r="H604" s="87">
        <v>0</v>
      </c>
      <c r="I604" s="87">
        <v>0</v>
      </c>
      <c r="J604" s="98"/>
      <c r="K604" s="99">
        <f>SUM(E604*J604)</f>
        <v>0</v>
      </c>
      <c r="L604" s="195"/>
      <c r="M604" s="196">
        <f>SUM(E604*L604)</f>
        <v>0</v>
      </c>
      <c r="N604" s="473"/>
    </row>
    <row r="605" spans="1:14" s="189" customFormat="1" ht="12.75" hidden="1" outlineLevel="2">
      <c r="A605" s="84"/>
      <c r="B605" s="85"/>
      <c r="C605" s="181" t="s">
        <v>1717</v>
      </c>
      <c r="D605" s="85"/>
      <c r="E605" s="144">
        <v>149.8</v>
      </c>
      <c r="F605" s="86"/>
      <c r="G605" s="87"/>
      <c r="H605" s="87"/>
      <c r="I605" s="87"/>
      <c r="J605" s="98"/>
      <c r="K605" s="99"/>
      <c r="L605" s="195"/>
      <c r="M605" s="196"/>
      <c r="N605" s="473"/>
    </row>
    <row r="606" spans="1:14" s="189" customFormat="1" ht="12.75" outlineLevel="1" collapsed="1">
      <c r="A606" s="84">
        <v>89</v>
      </c>
      <c r="B606" s="85" t="s">
        <v>1718</v>
      </c>
      <c r="C606" s="97" t="s">
        <v>1719</v>
      </c>
      <c r="D606" s="85" t="s">
        <v>55</v>
      </c>
      <c r="E606" s="143">
        <f>E607</f>
        <v>88.9</v>
      </c>
      <c r="F606" s="86">
        <v>0</v>
      </c>
      <c r="G606" s="87">
        <f>SUM(E606*F606)</f>
        <v>0</v>
      </c>
      <c r="H606" s="87">
        <v>0</v>
      </c>
      <c r="I606" s="87">
        <v>0</v>
      </c>
      <c r="J606" s="98"/>
      <c r="K606" s="99">
        <f>SUM(E606*J606)</f>
        <v>0</v>
      </c>
      <c r="L606" s="195"/>
      <c r="M606" s="196">
        <f>SUM(E606*L606)</f>
        <v>0</v>
      </c>
      <c r="N606" s="473"/>
    </row>
    <row r="607" spans="1:14" s="189" customFormat="1" ht="12.75" hidden="1" outlineLevel="2">
      <c r="A607" s="84"/>
      <c r="B607" s="85"/>
      <c r="C607" s="181" t="s">
        <v>1721</v>
      </c>
      <c r="D607" s="85"/>
      <c r="E607" s="144">
        <v>88.9</v>
      </c>
      <c r="F607" s="86"/>
      <c r="G607" s="87"/>
      <c r="H607" s="87"/>
      <c r="I607" s="87"/>
      <c r="J607" s="98"/>
      <c r="K607" s="99"/>
      <c r="L607" s="195"/>
      <c r="M607" s="196"/>
      <c r="N607" s="473"/>
    </row>
    <row r="608" spans="1:14" s="189" customFormat="1" ht="12.75" outlineLevel="1" collapsed="1">
      <c r="A608" s="84">
        <v>90</v>
      </c>
      <c r="B608" s="85" t="s">
        <v>1720</v>
      </c>
      <c r="C608" s="97" t="s">
        <v>1722</v>
      </c>
      <c r="D608" s="85" t="s">
        <v>55</v>
      </c>
      <c r="E608" s="143">
        <f>E609</f>
        <v>7.64</v>
      </c>
      <c r="F608" s="86">
        <v>0</v>
      </c>
      <c r="G608" s="87">
        <f>SUM(E608*F608)</f>
        <v>0</v>
      </c>
      <c r="H608" s="87">
        <v>0</v>
      </c>
      <c r="I608" s="87">
        <v>0</v>
      </c>
      <c r="J608" s="98"/>
      <c r="K608" s="99">
        <f>SUM(E608*J608)</f>
        <v>0</v>
      </c>
      <c r="L608" s="195"/>
      <c r="M608" s="196">
        <f>SUM(E608*L608)</f>
        <v>0</v>
      </c>
      <c r="N608" s="473"/>
    </row>
    <row r="609" spans="1:14" s="189" customFormat="1" ht="12.75" hidden="1" outlineLevel="2">
      <c r="A609" s="84"/>
      <c r="B609" s="85"/>
      <c r="C609" s="181" t="s">
        <v>1723</v>
      </c>
      <c r="D609" s="85"/>
      <c r="E609" s="144">
        <v>7.64</v>
      </c>
      <c r="F609" s="86"/>
      <c r="G609" s="87"/>
      <c r="H609" s="87"/>
      <c r="I609" s="87"/>
      <c r="J609" s="98"/>
      <c r="K609" s="99"/>
      <c r="L609" s="195"/>
      <c r="M609" s="196"/>
      <c r="N609" s="473"/>
    </row>
    <row r="610" spans="1:14" s="189" customFormat="1" ht="12.75" outlineLevel="1" collapsed="1">
      <c r="A610" s="84">
        <v>91</v>
      </c>
      <c r="B610" s="85" t="s">
        <v>411</v>
      </c>
      <c r="C610" s="392" t="s">
        <v>1168</v>
      </c>
      <c r="D610" s="85" t="s">
        <v>26</v>
      </c>
      <c r="E610" s="285">
        <v>3</v>
      </c>
      <c r="F610" s="86">
        <v>0</v>
      </c>
      <c r="G610" s="87">
        <f>SUM(E610*F610)</f>
        <v>0</v>
      </c>
      <c r="H610" s="87">
        <v>0</v>
      </c>
      <c r="I610" s="87">
        <v>0</v>
      </c>
      <c r="J610" s="98"/>
      <c r="K610" s="99">
        <f>SUM(E610*J610)</f>
        <v>0</v>
      </c>
      <c r="L610" s="195"/>
      <c r="M610" s="196">
        <f>SUM(E610*L610)</f>
        <v>0</v>
      </c>
      <c r="N610" s="473"/>
    </row>
    <row r="611" spans="1:14" s="189" customFormat="1" ht="12.75" outlineLevel="1">
      <c r="A611" s="84">
        <v>92</v>
      </c>
      <c r="B611" s="85" t="s">
        <v>367</v>
      </c>
      <c r="C611" s="97" t="s">
        <v>368</v>
      </c>
      <c r="D611" s="85" t="s">
        <v>23</v>
      </c>
      <c r="E611" s="143">
        <v>1.81</v>
      </c>
      <c r="F611" s="86">
        <v>0</v>
      </c>
      <c r="G611" s="87">
        <f>SUM(E611*F611)</f>
        <v>0</v>
      </c>
      <c r="H611" s="87">
        <v>0</v>
      </c>
      <c r="I611" s="87">
        <v>0</v>
      </c>
      <c r="J611" s="98"/>
      <c r="K611" s="99">
        <f>SUM(E611*J611)</f>
        <v>0</v>
      </c>
      <c r="L611" s="195"/>
      <c r="M611" s="196">
        <f>SUM(E611*L611)</f>
        <v>0</v>
      </c>
      <c r="N611" s="474"/>
    </row>
    <row r="612" spans="1:14" s="189" customFormat="1" ht="12.75">
      <c r="A612" s="93"/>
      <c r="B612" s="105"/>
      <c r="C612" s="94" t="s">
        <v>643</v>
      </c>
      <c r="D612" s="83"/>
      <c r="E612" s="142"/>
      <c r="F612" s="95"/>
      <c r="G612" s="96">
        <f>SUM(G613:G636)</f>
        <v>0</v>
      </c>
      <c r="H612" s="96">
        <f>SUM(H613:H636)</f>
        <v>0</v>
      </c>
      <c r="I612" s="96">
        <f>SUM(I613:I636)</f>
        <v>0</v>
      </c>
      <c r="J612" s="96"/>
      <c r="K612" s="96">
        <f>SUM(K613:K636)</f>
        <v>98.00592479999999</v>
      </c>
      <c r="L612" s="205"/>
      <c r="M612" s="205">
        <f>SUM(M613:M636)</f>
        <v>0</v>
      </c>
      <c r="N612" s="473"/>
    </row>
    <row r="613" spans="1:14" s="189" customFormat="1" ht="12.75" outlineLevel="1">
      <c r="A613" s="84">
        <v>93</v>
      </c>
      <c r="B613" s="85" t="s">
        <v>644</v>
      </c>
      <c r="C613" s="387" t="s">
        <v>645</v>
      </c>
      <c r="D613" s="85" t="s">
        <v>26</v>
      </c>
      <c r="E613" s="143">
        <f>SUM(E615:E623)</f>
        <v>5972.35</v>
      </c>
      <c r="F613" s="384">
        <v>0</v>
      </c>
      <c r="G613" s="87">
        <f>SUM(E613*F613)</f>
        <v>0</v>
      </c>
      <c r="H613" s="87">
        <v>0</v>
      </c>
      <c r="I613" s="87">
        <v>0</v>
      </c>
      <c r="J613" s="98">
        <v>0.00792</v>
      </c>
      <c r="K613" s="99">
        <f>SUM(E613*J613)</f>
        <v>47.301012</v>
      </c>
      <c r="L613" s="195"/>
      <c r="M613" s="196">
        <f>SUM(E613*L613)</f>
        <v>0</v>
      </c>
      <c r="N613" s="474"/>
    </row>
    <row r="614" spans="1:14" s="189" customFormat="1" ht="12.75" hidden="1" outlineLevel="2">
      <c r="A614" s="100"/>
      <c r="B614" s="106"/>
      <c r="C614" s="102" t="s">
        <v>349</v>
      </c>
      <c r="D614" s="101"/>
      <c r="E614" s="144"/>
      <c r="F614" s="103"/>
      <c r="G614" s="103"/>
      <c r="H614" s="103"/>
      <c r="I614" s="103"/>
      <c r="J614" s="103"/>
      <c r="K614" s="103"/>
      <c r="L614" s="199"/>
      <c r="M614" s="199"/>
      <c r="N614" s="474"/>
    </row>
    <row r="615" spans="1:14" s="189" customFormat="1" ht="46.5" customHeight="1" hidden="1" outlineLevel="2">
      <c r="A615" s="100"/>
      <c r="B615" s="106"/>
      <c r="C615" s="102" t="s">
        <v>1198</v>
      </c>
      <c r="D615" s="101"/>
      <c r="E615" s="144">
        <f>69.27+22.52+23.3+99.71+15.11+55.17+12.68+20.92+87.83+17.16+10.29+35.71+36.9+6.57+3.54+7.59+6.1+2.58+16.33+14.64+37.89+4.65+5.59+6.52+6.23+32.49+5.14+6.3+5.84+11.28+20.17+21.31+2.89+9.21+17.39+43.74+37.44+6.11+37.33+16.26+12.81+15.83+9.47+15.4+4.12+24.57+12.66+14.29+8.45+28.51+8.32+2.86+10.27+4.46+27.51+67.71+100.6+2.57</f>
        <v>1268.11</v>
      </c>
      <c r="F615" s="103"/>
      <c r="G615" s="103"/>
      <c r="H615" s="103"/>
      <c r="I615" s="103"/>
      <c r="J615" s="103"/>
      <c r="K615" s="103"/>
      <c r="L615" s="199"/>
      <c r="M615" s="199"/>
      <c r="N615" s="474"/>
    </row>
    <row r="616" spans="1:14" s="189" customFormat="1" ht="12.75" hidden="1" outlineLevel="2">
      <c r="A616" s="100"/>
      <c r="B616" s="106"/>
      <c r="C616" s="102" t="s">
        <v>350</v>
      </c>
      <c r="D616" s="101"/>
      <c r="E616" s="144"/>
      <c r="F616" s="103"/>
      <c r="G616" s="103"/>
      <c r="H616" s="103"/>
      <c r="I616" s="103"/>
      <c r="J616" s="103"/>
      <c r="K616" s="103"/>
      <c r="L616" s="199"/>
      <c r="M616" s="199"/>
      <c r="N616" s="474"/>
    </row>
    <row r="617" spans="1:14" s="189" customFormat="1" ht="49.5" customHeight="1" hidden="1" outlineLevel="2">
      <c r="A617" s="100"/>
      <c r="B617" s="106"/>
      <c r="C617" s="102" t="s">
        <v>1234</v>
      </c>
      <c r="D617" s="101"/>
      <c r="E617" s="144">
        <f>14.01+14.16+5.18+83.25+253.84+18.83+37.35+5.87+6.25+27.14+24.43+6.06+6.3+20.5+29.61+6.09+25.89+4.77+19.99+3.93+5.33+21.76+20.57+7.08+5.07+20.74+9.35+12.31+20.5+15.24+0.9+6.92+7.08+12.92+8.75+16.5+9.7+5.49+12.12+20.12+5.49+3.88+12.11+19.95+5.49+3.8+3.8+16.79+5.56+27.14+27.38+7.34+6.63+26.82+5.5+35.83+5.56+5.48+3.18+1.87+8.69+3.25+6.42+129.83+108.63</f>
        <v>1338.3200000000002</v>
      </c>
      <c r="F617" s="103"/>
      <c r="G617" s="103"/>
      <c r="H617" s="103"/>
      <c r="I617" s="103"/>
      <c r="J617" s="103"/>
      <c r="K617" s="103"/>
      <c r="L617" s="199"/>
      <c r="M617" s="199"/>
      <c r="N617" s="474"/>
    </row>
    <row r="618" spans="1:14" s="189" customFormat="1" ht="12.75" hidden="1" outlineLevel="2">
      <c r="A618" s="100"/>
      <c r="B618" s="106"/>
      <c r="C618" s="102" t="s">
        <v>351</v>
      </c>
      <c r="D618" s="101"/>
      <c r="E618" s="144"/>
      <c r="F618" s="103"/>
      <c r="G618" s="103"/>
      <c r="H618" s="103"/>
      <c r="I618" s="103"/>
      <c r="J618" s="103"/>
      <c r="K618" s="103"/>
      <c r="L618" s="199"/>
      <c r="M618" s="199"/>
      <c r="N618" s="474"/>
    </row>
    <row r="619" spans="1:14" s="189" customFormat="1" ht="53.25" customHeight="1" hidden="1" outlineLevel="2">
      <c r="A619" s="100"/>
      <c r="B619" s="106"/>
      <c r="C619" s="102" t="s">
        <v>1235</v>
      </c>
      <c r="D619" s="101"/>
      <c r="E619" s="144">
        <f>69.33+40.42+31.64+5.76+6.46+36.94+5.37+38.1+5.87+6.25+26.09+25.47+6.09+6.3+20.69+29.46+6.09+25.89+4.77+19.99+3.93+5.33+21.76+20.57+5.07+7.08+20.56+9.43+12.31+19.71+19.05+17.47+1.37+1.73+11.72+1.84+7.84+20.1+3.88+5.49+22.09+19.95+3.8+5.48+16.79+27.14+5.56+27.38+7.35+6.63+26.82+5.5+35.82+5.56+5.25+25.93+36.39+112.33+109.93</f>
        <v>1138.9199999999998</v>
      </c>
      <c r="F619" s="103"/>
      <c r="G619" s="103"/>
      <c r="H619" s="103"/>
      <c r="I619" s="103"/>
      <c r="J619" s="103"/>
      <c r="K619" s="103"/>
      <c r="L619" s="199"/>
      <c r="M619" s="199"/>
      <c r="N619" s="474"/>
    </row>
    <row r="620" spans="1:14" s="189" customFormat="1" ht="12.75" hidden="1" outlineLevel="2">
      <c r="A620" s="100"/>
      <c r="B620" s="106"/>
      <c r="C620" s="102" t="s">
        <v>596</v>
      </c>
      <c r="D620" s="101"/>
      <c r="E620" s="144"/>
      <c r="F620" s="103"/>
      <c r="G620" s="103"/>
      <c r="H620" s="103"/>
      <c r="I620" s="103"/>
      <c r="J620" s="103"/>
      <c r="K620" s="103"/>
      <c r="L620" s="199"/>
      <c r="M620" s="199"/>
      <c r="N620" s="474"/>
    </row>
    <row r="621" spans="1:14" s="189" customFormat="1" ht="52.5" customHeight="1" hidden="1" outlineLevel="2">
      <c r="A621" s="100"/>
      <c r="B621" s="106"/>
      <c r="C621" s="102" t="s">
        <v>1235</v>
      </c>
      <c r="D621" s="101"/>
      <c r="E621" s="144">
        <f>69.33+40.42+31.64+5.76+6.46+36.94+5.37+38.1+5.87+6.25+26.09+25.47+6.09+6.3+20.69+29.46+6.09+25.89+4.77+19.99+3.93+5.33+21.76+20.57+5.07+7.08+20.56+9.43+12.31+19.71+19.05+17.47+1.37+1.73+11.72+1.84+7.84+20.1+3.88+5.49+22.09+19.95+3.8+5.48+16.79+27.14+5.56+27.38+7.35+6.63+26.82+5.5+35.82+5.56+5.25+25.93+36.39+112.33+109.93</f>
        <v>1138.9199999999998</v>
      </c>
      <c r="F621" s="103"/>
      <c r="G621" s="103"/>
      <c r="H621" s="103"/>
      <c r="I621" s="103"/>
      <c r="J621" s="103"/>
      <c r="K621" s="103"/>
      <c r="L621" s="199"/>
      <c r="M621" s="199"/>
      <c r="N621" s="474"/>
    </row>
    <row r="622" spans="1:14" s="189" customFormat="1" ht="12.75" hidden="1" outlineLevel="2">
      <c r="A622" s="100"/>
      <c r="B622" s="106"/>
      <c r="C622" s="102" t="s">
        <v>597</v>
      </c>
      <c r="D622" s="101"/>
      <c r="E622" s="144"/>
      <c r="F622" s="103"/>
      <c r="G622" s="103"/>
      <c r="H622" s="103"/>
      <c r="I622" s="103"/>
      <c r="J622" s="103"/>
      <c r="K622" s="103"/>
      <c r="L622" s="199"/>
      <c r="M622" s="199"/>
      <c r="N622" s="474"/>
    </row>
    <row r="623" spans="1:14" s="189" customFormat="1" ht="50.25" customHeight="1" hidden="1" outlineLevel="2">
      <c r="A623" s="100"/>
      <c r="B623" s="106"/>
      <c r="C623" s="102" t="s">
        <v>1199</v>
      </c>
      <c r="D623" s="101"/>
      <c r="E623" s="144">
        <f>69.33+40.42+31.64+36.94+5.37+38.1+26.09+25.47+20.69+29.46+25.47+20.69+29.46+25.89+19.99+21.76+20.57+20.56+9.43+12.31+19.71+19.05+17.47+1.37+36.39+11.72+20.1+22.09+19.95+16.79+27.71+28+27.49+5+36.91+26.43+112.33+109.93</f>
        <v>1088.08</v>
      </c>
      <c r="F623" s="103"/>
      <c r="G623" s="103"/>
      <c r="H623" s="103"/>
      <c r="I623" s="103"/>
      <c r="J623" s="103"/>
      <c r="K623" s="103"/>
      <c r="L623" s="199"/>
      <c r="M623" s="199"/>
      <c r="N623" s="474"/>
    </row>
    <row r="624" spans="1:14" s="189" customFormat="1" ht="12.75" outlineLevel="1" collapsed="1">
      <c r="A624" s="84">
        <v>94</v>
      </c>
      <c r="B624" s="85" t="s">
        <v>646</v>
      </c>
      <c r="C624" s="97" t="s">
        <v>647</v>
      </c>
      <c r="D624" s="85" t="s">
        <v>26</v>
      </c>
      <c r="E624" s="143">
        <f>SUM(E625:E628)</f>
        <v>1663.8</v>
      </c>
      <c r="F624" s="86">
        <v>0</v>
      </c>
      <c r="G624" s="87">
        <f>SUM(E624*F624)</f>
        <v>0</v>
      </c>
      <c r="H624" s="87">
        <v>0</v>
      </c>
      <c r="I624" s="87">
        <v>0</v>
      </c>
      <c r="J624" s="98">
        <v>0.009</v>
      </c>
      <c r="K624" s="99">
        <f>SUM(E624*J624)</f>
        <v>14.974199999999998</v>
      </c>
      <c r="L624" s="195"/>
      <c r="M624" s="196">
        <f>SUM(E624*L624)</f>
        <v>0</v>
      </c>
      <c r="N624" s="474"/>
    </row>
    <row r="625" spans="1:14" s="189" customFormat="1" ht="12.75" hidden="1" outlineLevel="2">
      <c r="A625" s="100"/>
      <c r="B625" s="106"/>
      <c r="C625" s="102" t="s">
        <v>349</v>
      </c>
      <c r="D625" s="101"/>
      <c r="E625" s="144">
        <f>69.27+22.52+23.3+99.71+15.11+55.17+12.68+20.92+87.83+17.16+10.29+35.71+36.9+6.57+3.54+7.59+6.1+2.58+16.33+14.64+37.89+4.65+5.59+6.52+6.23+32.49+5.14+6.3+5.84+11.28+20.17+21.31+2.89+9.21+17.39+43.74+37.44+6.11+37.33+16.26+12.81+15.83+9.47+15.4+4.12+24.57+12.66+14.29+8.45+28.51+8.32+2.86+10.27+4.46+27.51+67.71+100.6+2.57</f>
        <v>1268.11</v>
      </c>
      <c r="F625" s="103"/>
      <c r="G625" s="103"/>
      <c r="H625" s="103"/>
      <c r="I625" s="103"/>
      <c r="J625" s="103"/>
      <c r="K625" s="103"/>
      <c r="L625" s="199"/>
      <c r="M625" s="199"/>
      <c r="N625" s="474"/>
    </row>
    <row r="626" spans="1:14" s="189" customFormat="1" ht="45.75" customHeight="1" hidden="1" outlineLevel="2">
      <c r="A626" s="100"/>
      <c r="B626" s="106"/>
      <c r="C626" s="102" t="s">
        <v>1198</v>
      </c>
      <c r="D626" s="101"/>
      <c r="E626" s="144"/>
      <c r="F626" s="103"/>
      <c r="G626" s="103"/>
      <c r="H626" s="103"/>
      <c r="I626" s="103"/>
      <c r="J626" s="103"/>
      <c r="K626" s="103"/>
      <c r="L626" s="199"/>
      <c r="M626" s="199"/>
      <c r="N626" s="474"/>
    </row>
    <row r="627" spans="1:14" s="189" customFormat="1" ht="12.75" hidden="1" outlineLevel="2">
      <c r="A627" s="100"/>
      <c r="B627" s="106"/>
      <c r="C627" s="102" t="s">
        <v>350</v>
      </c>
      <c r="D627" s="101"/>
      <c r="E627" s="144">
        <f>14.01+14.16+5.18+83.25+253.84+18.83+6.42</f>
        <v>395.69</v>
      </c>
      <c r="F627" s="103"/>
      <c r="G627" s="103"/>
      <c r="H627" s="103"/>
      <c r="I627" s="103"/>
      <c r="J627" s="103"/>
      <c r="K627" s="103"/>
      <c r="L627" s="199"/>
      <c r="M627" s="199"/>
      <c r="N627" s="474"/>
    </row>
    <row r="628" spans="1:14" s="189" customFormat="1" ht="12.75" hidden="1" outlineLevel="2">
      <c r="A628" s="100"/>
      <c r="B628" s="106"/>
      <c r="C628" s="102" t="s">
        <v>1236</v>
      </c>
      <c r="D628" s="101"/>
      <c r="E628" s="144"/>
      <c r="F628" s="103"/>
      <c r="G628" s="103"/>
      <c r="H628" s="103"/>
      <c r="I628" s="103"/>
      <c r="J628" s="103"/>
      <c r="K628" s="103"/>
      <c r="L628" s="199"/>
      <c r="M628" s="199"/>
      <c r="N628" s="474"/>
    </row>
    <row r="629" spans="1:14" s="189" customFormat="1" ht="12.75" outlineLevel="1" collapsed="1">
      <c r="A629" s="84">
        <v>95</v>
      </c>
      <c r="B629" s="85" t="s">
        <v>648</v>
      </c>
      <c r="C629" s="97" t="s">
        <v>649</v>
      </c>
      <c r="D629" s="85" t="s">
        <v>26</v>
      </c>
      <c r="E629" s="143">
        <f>SUM(E630:E631)</f>
        <v>1746.99</v>
      </c>
      <c r="F629" s="86">
        <v>0</v>
      </c>
      <c r="G629" s="87">
        <f>SUM(E629*F629)</f>
        <v>0</v>
      </c>
      <c r="H629" s="87">
        <v>0</v>
      </c>
      <c r="I629" s="87">
        <v>0</v>
      </c>
      <c r="J629" s="98">
        <v>0.0202</v>
      </c>
      <c r="K629" s="99">
        <f>SUM(E629*J629)</f>
        <v>35.289198</v>
      </c>
      <c r="L629" s="195"/>
      <c r="M629" s="196">
        <f>SUM(E629*L629)</f>
        <v>0</v>
      </c>
      <c r="N629" s="474"/>
    </row>
    <row r="630" spans="1:14" s="189" customFormat="1" ht="12.75" hidden="1" outlineLevel="2">
      <c r="A630" s="100"/>
      <c r="B630" s="106"/>
      <c r="C630" s="102" t="s">
        <v>1237</v>
      </c>
      <c r="D630" s="101"/>
      <c r="E630" s="144">
        <f>E625*1.05</f>
        <v>1331.5155</v>
      </c>
      <c r="F630" s="103"/>
      <c r="G630" s="103"/>
      <c r="H630" s="103"/>
      <c r="I630" s="103"/>
      <c r="J630" s="103"/>
      <c r="K630" s="103"/>
      <c r="L630" s="199"/>
      <c r="M630" s="199"/>
      <c r="N630" s="474"/>
    </row>
    <row r="631" spans="1:14" s="189" customFormat="1" ht="12.75" hidden="1" outlineLevel="2">
      <c r="A631" s="100"/>
      <c r="B631" s="106"/>
      <c r="C631" s="102" t="s">
        <v>1238</v>
      </c>
      <c r="D631" s="101"/>
      <c r="E631" s="144">
        <f>SUM(E627)*1.05</f>
        <v>415.47450000000003</v>
      </c>
      <c r="F631" s="103"/>
      <c r="G631" s="103"/>
      <c r="H631" s="103"/>
      <c r="I631" s="103"/>
      <c r="J631" s="103"/>
      <c r="K631" s="103"/>
      <c r="L631" s="199"/>
      <c r="M631" s="199"/>
      <c r="N631" s="474"/>
    </row>
    <row r="632" spans="1:14" s="189" customFormat="1" ht="12.75" outlineLevel="1" collapsed="1">
      <c r="A632" s="84">
        <v>96</v>
      </c>
      <c r="B632" s="85" t="s">
        <v>650</v>
      </c>
      <c r="C632" s="97" t="s">
        <v>651</v>
      </c>
      <c r="D632" s="85" t="s">
        <v>54</v>
      </c>
      <c r="E632" s="143">
        <v>568.98</v>
      </c>
      <c r="F632" s="86">
        <v>0</v>
      </c>
      <c r="G632" s="87">
        <f>SUM(E632*F632)</f>
        <v>0</v>
      </c>
      <c r="H632" s="87">
        <v>0</v>
      </c>
      <c r="I632" s="87">
        <v>0</v>
      </c>
      <c r="J632" s="98">
        <v>0.00046</v>
      </c>
      <c r="K632" s="99">
        <f>SUM(E632*J632)</f>
        <v>0.26173080000000004</v>
      </c>
      <c r="L632" s="195"/>
      <c r="M632" s="196">
        <f>SUM(E632*L632)</f>
        <v>0</v>
      </c>
      <c r="N632" s="474"/>
    </row>
    <row r="633" spans="1:14" s="189" customFormat="1" ht="12.75" hidden="1" outlineLevel="2">
      <c r="A633" s="100"/>
      <c r="B633" s="106"/>
      <c r="C633" s="102" t="s">
        <v>349</v>
      </c>
      <c r="D633" s="101"/>
      <c r="E633" s="144">
        <v>454</v>
      </c>
      <c r="F633" s="103"/>
      <c r="G633" s="103"/>
      <c r="H633" s="103"/>
      <c r="I633" s="103"/>
      <c r="J633" s="103"/>
      <c r="K633" s="103"/>
      <c r="L633" s="199"/>
      <c r="M633" s="199"/>
      <c r="N633" s="474"/>
    </row>
    <row r="634" spans="1:14" s="189" customFormat="1" ht="12.75" hidden="1" outlineLevel="2">
      <c r="A634" s="100"/>
      <c r="B634" s="106"/>
      <c r="C634" s="102" t="s">
        <v>350</v>
      </c>
      <c r="D634" s="101"/>
      <c r="E634" s="144">
        <v>114.97999999999999</v>
      </c>
      <c r="F634" s="103"/>
      <c r="G634" s="103"/>
      <c r="H634" s="103"/>
      <c r="I634" s="103"/>
      <c r="J634" s="103"/>
      <c r="K634" s="103"/>
      <c r="L634" s="199"/>
      <c r="M634" s="199"/>
      <c r="N634" s="474"/>
    </row>
    <row r="635" spans="1:14" s="189" customFormat="1" ht="12.75" outlineLevel="1" collapsed="1">
      <c r="A635" s="84">
        <v>97</v>
      </c>
      <c r="B635" s="85" t="s">
        <v>652</v>
      </c>
      <c r="C635" s="97" t="s">
        <v>653</v>
      </c>
      <c r="D635" s="85" t="s">
        <v>25</v>
      </c>
      <c r="E635" s="143">
        <v>499.4</v>
      </c>
      <c r="F635" s="86">
        <v>0</v>
      </c>
      <c r="G635" s="87">
        <f>SUM(E635*F635)</f>
        <v>0</v>
      </c>
      <c r="H635" s="87">
        <v>0</v>
      </c>
      <c r="I635" s="87">
        <v>0</v>
      </c>
      <c r="J635" s="98">
        <v>0.00036</v>
      </c>
      <c r="K635" s="99">
        <f>SUM(E635*J635)</f>
        <v>0.179784</v>
      </c>
      <c r="L635" s="195"/>
      <c r="M635" s="196">
        <f>SUM(E635*L635)</f>
        <v>0</v>
      </c>
      <c r="N635" s="474"/>
    </row>
    <row r="636" spans="1:14" s="189" customFormat="1" ht="12.75" outlineLevel="1">
      <c r="A636" s="84">
        <v>98</v>
      </c>
      <c r="B636" s="85" t="s">
        <v>654</v>
      </c>
      <c r="C636" s="97" t="s">
        <v>655</v>
      </c>
      <c r="D636" s="85" t="s">
        <v>23</v>
      </c>
      <c r="E636" s="143">
        <v>6.92</v>
      </c>
      <c r="F636" s="86">
        <v>0</v>
      </c>
      <c r="G636" s="87">
        <f>SUM(E636*F636)</f>
        <v>0</v>
      </c>
      <c r="H636" s="87">
        <v>0</v>
      </c>
      <c r="I636" s="87">
        <v>0</v>
      </c>
      <c r="J636" s="98"/>
      <c r="K636" s="99">
        <f>SUM(E636*J636)</f>
        <v>0</v>
      </c>
      <c r="L636" s="195"/>
      <c r="M636" s="196">
        <f>SUM(E636*L636)</f>
        <v>0</v>
      </c>
      <c r="N636" s="474"/>
    </row>
    <row r="637" spans="1:14" s="189" customFormat="1" ht="12.75">
      <c r="A637" s="93"/>
      <c r="B637" s="105"/>
      <c r="C637" s="94" t="s">
        <v>369</v>
      </c>
      <c r="D637" s="83"/>
      <c r="E637" s="142"/>
      <c r="F637" s="95"/>
      <c r="G637" s="96">
        <f>SUM(G638:G714)</f>
        <v>0</v>
      </c>
      <c r="H637" s="96">
        <f>SUM(H638:H714)</f>
        <v>0</v>
      </c>
      <c r="I637" s="96">
        <f>SUM(I638:I714)</f>
        <v>0</v>
      </c>
      <c r="J637" s="96"/>
      <c r="K637" s="96">
        <f>SUM(K638:K714)</f>
        <v>57.42620516749999</v>
      </c>
      <c r="L637" s="205"/>
      <c r="M637" s="205">
        <f>SUM(M638:M714)</f>
        <v>0</v>
      </c>
      <c r="N637" s="473"/>
    </row>
    <row r="638" spans="1:14" s="189" customFormat="1" ht="12.75" outlineLevel="1">
      <c r="A638" s="84">
        <v>99</v>
      </c>
      <c r="B638" s="85" t="s">
        <v>370</v>
      </c>
      <c r="C638" s="97" t="s">
        <v>371</v>
      </c>
      <c r="D638" s="85" t="s">
        <v>26</v>
      </c>
      <c r="E638" s="143">
        <f>SUM(E640:E647)</f>
        <v>4314.969999999999</v>
      </c>
      <c r="F638" s="86">
        <v>0</v>
      </c>
      <c r="G638" s="87">
        <f>SUM(E638*F638)</f>
        <v>0</v>
      </c>
      <c r="H638" s="87">
        <v>0</v>
      </c>
      <c r="I638" s="87">
        <v>0</v>
      </c>
      <c r="J638" s="98">
        <v>0.0004</v>
      </c>
      <c r="K638" s="99">
        <f>SUM(E638*J638)</f>
        <v>1.7259879999999999</v>
      </c>
      <c r="L638" s="195"/>
      <c r="M638" s="196">
        <f>SUM(E638*L638)</f>
        <v>0</v>
      </c>
      <c r="N638" s="474"/>
    </row>
    <row r="639" spans="1:14" s="189" customFormat="1" ht="22.5" hidden="1" outlineLevel="2">
      <c r="A639" s="100"/>
      <c r="B639" s="106"/>
      <c r="C639" s="102" t="s">
        <v>466</v>
      </c>
      <c r="D639" s="101"/>
      <c r="E639" s="144"/>
      <c r="F639" s="103"/>
      <c r="G639" s="103"/>
      <c r="H639" s="103"/>
      <c r="I639" s="103"/>
      <c r="J639" s="103"/>
      <c r="K639" s="103"/>
      <c r="L639" s="199"/>
      <c r="M639" s="199"/>
      <c r="N639" s="474"/>
    </row>
    <row r="640" spans="1:14" s="189" customFormat="1" ht="12.75" hidden="1" outlineLevel="2">
      <c r="A640" s="100"/>
      <c r="B640" s="106"/>
      <c r="C640" s="102" t="s">
        <v>350</v>
      </c>
      <c r="D640" s="101"/>
      <c r="E640" s="144">
        <f>37.35+5.87+6.25+27.14+24.43+6.06+6.3+20.5+29.61+6.09+25.89+4.77+19.99+3.93+5.33+21.76+20.57+7.08+5.07+20.74+9.35+12.31+20.5+15.24+0.9+6.92+7.08+12.92+8.75+16.5+9.7+5.49+12.12+20.12+5.49+3.88+12.11+19.95+5.49+3.8+3.8+16.79+5.56+27.14+27.38+7.34+6.63+26.82+5.5+35.83+5.56+5.48+3.18+1.87+8.69+3.25+6.42+129.83+108.63</f>
        <v>949.05</v>
      </c>
      <c r="F640" s="103"/>
      <c r="G640" s="103"/>
      <c r="H640" s="103"/>
      <c r="I640" s="103"/>
      <c r="J640" s="103"/>
      <c r="K640" s="103"/>
      <c r="L640" s="199"/>
      <c r="M640" s="199"/>
      <c r="N640" s="474"/>
    </row>
    <row r="641" spans="1:14" s="189" customFormat="1" ht="45" hidden="1" outlineLevel="2">
      <c r="A641" s="100"/>
      <c r="B641" s="106"/>
      <c r="C641" s="102" t="s">
        <v>1239</v>
      </c>
      <c r="D641" s="101"/>
      <c r="E641" s="144"/>
      <c r="F641" s="103"/>
      <c r="G641" s="103"/>
      <c r="H641" s="103"/>
      <c r="I641" s="103"/>
      <c r="J641" s="103"/>
      <c r="K641" s="103"/>
      <c r="L641" s="199"/>
      <c r="M641" s="199"/>
      <c r="N641" s="474"/>
    </row>
    <row r="642" spans="1:14" s="189" customFormat="1" ht="12.75" hidden="1" outlineLevel="2">
      <c r="A642" s="100"/>
      <c r="B642" s="106"/>
      <c r="C642" s="102" t="s">
        <v>351</v>
      </c>
      <c r="D642" s="101"/>
      <c r="E642" s="144">
        <f>69.33+40.42+31.64+5.76+6.46+36.94+5.37+38.1+5.87+6.25+26.09+25.47+6.09+6.3+20.69+29.46+6.09+25.89+4.77+19.99+3.93+5.33+21.76+20.57+5.07+7.08+20.56+9.43+12.31+19.71+19.05+17.47+1.37+1.73+11.72+1.84+7.84+20.1+3.88+5.49+22.09+19.95+3.8+5.48+16.79+27.14+5.56+27.38+7.35+6.63+26.82+5.5+35.82+5.56+5.25+25.93+36.39+112.33+109.93</f>
        <v>1138.9199999999998</v>
      </c>
      <c r="F642" s="103"/>
      <c r="G642" s="103"/>
      <c r="H642" s="103"/>
      <c r="I642" s="103"/>
      <c r="J642" s="103"/>
      <c r="K642" s="103"/>
      <c r="L642" s="199"/>
      <c r="M642" s="199"/>
      <c r="N642" s="474"/>
    </row>
    <row r="643" spans="1:14" s="189" customFormat="1" ht="56.25" hidden="1" outlineLevel="2">
      <c r="A643" s="100"/>
      <c r="B643" s="106"/>
      <c r="C643" s="102" t="s">
        <v>1235</v>
      </c>
      <c r="D643" s="101"/>
      <c r="E643" s="144"/>
      <c r="F643" s="103"/>
      <c r="G643" s="103"/>
      <c r="H643" s="103"/>
      <c r="I643" s="103"/>
      <c r="J643" s="103"/>
      <c r="K643" s="103"/>
      <c r="L643" s="199"/>
      <c r="M643" s="199"/>
      <c r="N643" s="474"/>
    </row>
    <row r="644" spans="1:14" s="189" customFormat="1" ht="12.75" hidden="1" outlineLevel="2">
      <c r="A644" s="100"/>
      <c r="B644" s="106"/>
      <c r="C644" s="102" t="s">
        <v>596</v>
      </c>
      <c r="D644" s="101"/>
      <c r="E644" s="144">
        <f>69.33+40.42+31.64+5.76+6.46+36.94+5.37+38.1+5.87+6.25+26.09+25.47+6.09+6.3+20.69+29.46+6.09+25.89+4.77+19.99+3.93+5.33+21.76+20.57+5.07+7.08+20.56+9.43+12.31+19.71+19.05+17.47+1.37+1.73+11.72+1.84+7.84+20.1+3.88+5.49+22.09+19.95+3.8+5.48+16.79+27.14+5.56+27.38+7.35+6.63+26.82+5.5+35.82+5.56+5.25+25.93+36.39+112.33+109.93</f>
        <v>1138.9199999999998</v>
      </c>
      <c r="F644" s="103"/>
      <c r="G644" s="103"/>
      <c r="H644" s="103"/>
      <c r="I644" s="103"/>
      <c r="J644" s="103"/>
      <c r="K644" s="103"/>
      <c r="L644" s="199"/>
      <c r="M644" s="199"/>
      <c r="N644" s="474"/>
    </row>
    <row r="645" spans="1:14" s="189" customFormat="1" ht="53.25" customHeight="1" hidden="1" outlineLevel="2">
      <c r="A645" s="100"/>
      <c r="B645" s="106"/>
      <c r="C645" s="102" t="s">
        <v>1235</v>
      </c>
      <c r="D645" s="101"/>
      <c r="E645" s="144"/>
      <c r="F645" s="103"/>
      <c r="G645" s="103"/>
      <c r="H645" s="103"/>
      <c r="I645" s="103"/>
      <c r="J645" s="103"/>
      <c r="K645" s="103"/>
      <c r="L645" s="199"/>
      <c r="M645" s="199"/>
      <c r="N645" s="474"/>
    </row>
    <row r="646" spans="1:14" s="189" customFormat="1" ht="12.75" hidden="1" outlineLevel="2">
      <c r="A646" s="100"/>
      <c r="B646" s="106"/>
      <c r="C646" s="102" t="s">
        <v>597</v>
      </c>
      <c r="D646" s="101"/>
      <c r="E646" s="144">
        <f>69.33+40.42+31.64+36.94+5.37+38.1+26.09+25.47+20.69+29.46+25.47+20.69+29.46+25.89+19.99+21.76+20.57+20.56+9.43+12.31+19.71+19.05+17.47+1.37+36.39+11.72+20.1+22.09+19.95+16.79+27.71+28+27.49+5+36.91+26.43+112.33+109.93</f>
        <v>1088.08</v>
      </c>
      <c r="F646" s="103"/>
      <c r="G646" s="103"/>
      <c r="H646" s="103"/>
      <c r="I646" s="103"/>
      <c r="J646" s="103"/>
      <c r="K646" s="103"/>
      <c r="L646" s="199"/>
      <c r="M646" s="199"/>
      <c r="N646" s="474"/>
    </row>
    <row r="647" spans="1:14" s="189" customFormat="1" ht="33.75" hidden="1" outlineLevel="2">
      <c r="A647" s="100"/>
      <c r="B647" s="106"/>
      <c r="C647" s="102" t="s">
        <v>1199</v>
      </c>
      <c r="D647" s="101"/>
      <c r="E647" s="144"/>
      <c r="F647" s="103"/>
      <c r="G647" s="103"/>
      <c r="H647" s="103"/>
      <c r="I647" s="103"/>
      <c r="J647" s="103"/>
      <c r="K647" s="103"/>
      <c r="L647" s="199"/>
      <c r="M647" s="199"/>
      <c r="N647" s="474"/>
    </row>
    <row r="648" spans="1:14" s="189" customFormat="1" ht="12.75" outlineLevel="1" collapsed="1">
      <c r="A648" s="84">
        <v>100</v>
      </c>
      <c r="B648" s="85" t="s">
        <v>372</v>
      </c>
      <c r="C648" s="387" t="s">
        <v>373</v>
      </c>
      <c r="D648" s="85" t="s">
        <v>26</v>
      </c>
      <c r="E648" s="143">
        <f>SUM(E649:E653)</f>
        <v>4746.467</v>
      </c>
      <c r="F648" s="384">
        <v>0</v>
      </c>
      <c r="G648" s="87">
        <f>SUM(E648*F648)</f>
        <v>0</v>
      </c>
      <c r="H648" s="87">
        <v>0</v>
      </c>
      <c r="I648" s="87">
        <v>0</v>
      </c>
      <c r="J648" s="98">
        <v>0.0025</v>
      </c>
      <c r="K648" s="99">
        <f>SUM(E648*J648)</f>
        <v>11.8661675</v>
      </c>
      <c r="L648" s="195"/>
      <c r="M648" s="196">
        <f>SUM(E648*L648)</f>
        <v>0</v>
      </c>
      <c r="N648" s="473"/>
    </row>
    <row r="649" spans="1:14" s="189" customFormat="1" ht="12.75" hidden="1" outlineLevel="2">
      <c r="A649" s="100"/>
      <c r="B649" s="106"/>
      <c r="C649" s="102" t="s">
        <v>350</v>
      </c>
      <c r="D649" s="101"/>
      <c r="E649" s="144"/>
      <c r="F649" s="103"/>
      <c r="G649" s="103"/>
      <c r="H649" s="103"/>
      <c r="I649" s="103"/>
      <c r="J649" s="103"/>
      <c r="K649" s="103"/>
      <c r="L649" s="199"/>
      <c r="M649" s="199"/>
      <c r="N649" s="474"/>
    </row>
    <row r="650" spans="1:14" s="189" customFormat="1" ht="12.75" hidden="1" outlineLevel="2">
      <c r="A650" s="100"/>
      <c r="B650" s="106"/>
      <c r="C650" s="102" t="s">
        <v>1240</v>
      </c>
      <c r="D650" s="101"/>
      <c r="E650" s="144">
        <f>SUM(E640)*1.1</f>
        <v>1043.955</v>
      </c>
      <c r="F650" s="103"/>
      <c r="G650" s="103"/>
      <c r="H650" s="103"/>
      <c r="I650" s="103"/>
      <c r="J650" s="103"/>
      <c r="K650" s="103"/>
      <c r="L650" s="199"/>
      <c r="M650" s="199"/>
      <c r="N650" s="474"/>
    </row>
    <row r="651" spans="1:14" s="189" customFormat="1" ht="12.75" hidden="1" outlineLevel="2">
      <c r="A651" s="100"/>
      <c r="B651" s="106"/>
      <c r="C651" s="102" t="s">
        <v>1241</v>
      </c>
      <c r="D651" s="101"/>
      <c r="E651" s="144">
        <f>SUM(E642)*1.1</f>
        <v>1252.812</v>
      </c>
      <c r="F651" s="103"/>
      <c r="G651" s="103"/>
      <c r="H651" s="103"/>
      <c r="I651" s="103"/>
      <c r="J651" s="103"/>
      <c r="K651" s="103"/>
      <c r="L651" s="199"/>
      <c r="M651" s="199"/>
      <c r="N651" s="474"/>
    </row>
    <row r="652" spans="1:14" s="189" customFormat="1" ht="12.75" hidden="1" outlineLevel="2">
      <c r="A652" s="100"/>
      <c r="B652" s="106"/>
      <c r="C652" s="102" t="s">
        <v>1242</v>
      </c>
      <c r="D652" s="101"/>
      <c r="E652" s="144">
        <f>SUM(E644)*1.1</f>
        <v>1252.812</v>
      </c>
      <c r="F652" s="103"/>
      <c r="G652" s="103"/>
      <c r="H652" s="103"/>
      <c r="I652" s="103"/>
      <c r="J652" s="103"/>
      <c r="K652" s="103"/>
      <c r="L652" s="199"/>
      <c r="M652" s="199"/>
      <c r="N652" s="474"/>
    </row>
    <row r="653" spans="1:14" s="189" customFormat="1" ht="12.75" hidden="1" outlineLevel="2">
      <c r="A653" s="100"/>
      <c r="B653" s="106"/>
      <c r="C653" s="102" t="s">
        <v>1243</v>
      </c>
      <c r="D653" s="101"/>
      <c r="E653" s="144">
        <f>SUM(E646)*1.1</f>
        <v>1196.888</v>
      </c>
      <c r="F653" s="103"/>
      <c r="G653" s="103"/>
      <c r="H653" s="103"/>
      <c r="I653" s="103"/>
      <c r="J653" s="103"/>
      <c r="K653" s="103"/>
      <c r="L653" s="199"/>
      <c r="M653" s="199"/>
      <c r="N653" s="474"/>
    </row>
    <row r="654" spans="1:14" s="189" customFormat="1" ht="12.75" outlineLevel="1" collapsed="1">
      <c r="A654" s="84">
        <v>101</v>
      </c>
      <c r="B654" s="85" t="s">
        <v>374</v>
      </c>
      <c r="C654" s="387" t="s">
        <v>375</v>
      </c>
      <c r="D654" s="85" t="s">
        <v>26</v>
      </c>
      <c r="E654" s="143">
        <f>SUM(E655:E697)</f>
        <v>1244.3245</v>
      </c>
      <c r="F654" s="86">
        <v>0</v>
      </c>
      <c r="G654" s="87">
        <f>SUM(E654*F654)</f>
        <v>0</v>
      </c>
      <c r="H654" s="87">
        <v>0</v>
      </c>
      <c r="I654" s="87">
        <v>0</v>
      </c>
      <c r="J654" s="98">
        <v>0.0005</v>
      </c>
      <c r="K654" s="99">
        <f>SUM(E654*J654)</f>
        <v>0.62216225</v>
      </c>
      <c r="L654" s="195"/>
      <c r="M654" s="196">
        <f>SUM(E654*L654)</f>
        <v>0</v>
      </c>
      <c r="N654" s="474"/>
    </row>
    <row r="655" spans="1:14" s="189" customFormat="1" ht="12.75" hidden="1" outlineLevel="2">
      <c r="A655" s="413"/>
      <c r="B655" s="414"/>
      <c r="C655" s="411" t="s">
        <v>1104</v>
      </c>
      <c r="D655" s="101"/>
      <c r="E655" s="144"/>
      <c r="F655" s="453"/>
      <c r="G655" s="416"/>
      <c r="H655" s="416"/>
      <c r="I655" s="416"/>
      <c r="J655" s="417"/>
      <c r="K655" s="418"/>
      <c r="L655" s="419"/>
      <c r="M655" s="420"/>
      <c r="N655" s="474"/>
    </row>
    <row r="656" spans="1:14" s="189" customFormat="1" ht="12.75" hidden="1" outlineLevel="2">
      <c r="A656" s="413"/>
      <c r="B656" s="414"/>
      <c r="C656" s="181" t="s">
        <v>1650</v>
      </c>
      <c r="D656" s="101"/>
      <c r="E656" s="144">
        <f>2*3.9-1.8</f>
        <v>6</v>
      </c>
      <c r="F656" s="453"/>
      <c r="G656" s="416"/>
      <c r="H656" s="416"/>
      <c r="I656" s="416"/>
      <c r="J656" s="417"/>
      <c r="K656" s="418"/>
      <c r="L656" s="419"/>
      <c r="M656" s="420"/>
      <c r="N656" s="474"/>
    </row>
    <row r="657" spans="1:14" s="189" customFormat="1" ht="12.75" hidden="1" outlineLevel="2">
      <c r="A657" s="413"/>
      <c r="B657" s="414"/>
      <c r="C657" s="181" t="s">
        <v>1651</v>
      </c>
      <c r="D657" s="101"/>
      <c r="E657" s="144">
        <f>2*(2+3.8+2)-1.6</f>
        <v>14</v>
      </c>
      <c r="F657" s="453"/>
      <c r="G657" s="416"/>
      <c r="H657" s="416"/>
      <c r="I657" s="416"/>
      <c r="J657" s="417"/>
      <c r="K657" s="418"/>
      <c r="L657" s="419"/>
      <c r="M657" s="420"/>
      <c r="N657" s="474"/>
    </row>
    <row r="658" spans="1:14" s="189" customFormat="1" ht="12.75" hidden="1" outlineLevel="2">
      <c r="A658" s="413"/>
      <c r="B658" s="414"/>
      <c r="C658" s="181" t="s">
        <v>1652</v>
      </c>
      <c r="D658" s="101"/>
      <c r="E658" s="144">
        <f>2*(2.4+2.4)-1.6</f>
        <v>8</v>
      </c>
      <c r="F658" s="453"/>
      <c r="G658" s="416"/>
      <c r="H658" s="416"/>
      <c r="I658" s="416"/>
      <c r="J658" s="417"/>
      <c r="K658" s="418"/>
      <c r="L658" s="419"/>
      <c r="M658" s="420"/>
      <c r="N658" s="474"/>
    </row>
    <row r="659" spans="1:14" s="189" customFormat="1" ht="12.75" hidden="1" outlineLevel="2">
      <c r="A659" s="413"/>
      <c r="B659" s="414"/>
      <c r="C659" s="181" t="s">
        <v>1653</v>
      </c>
      <c r="D659" s="101"/>
      <c r="E659" s="144">
        <f>2*(2*3+2.2)-1.6</f>
        <v>14.799999999999999</v>
      </c>
      <c r="F659" s="453"/>
      <c r="G659" s="416"/>
      <c r="H659" s="416"/>
      <c r="I659" s="416"/>
      <c r="J659" s="417"/>
      <c r="K659" s="418"/>
      <c r="L659" s="419"/>
      <c r="M659" s="420"/>
      <c r="N659" s="474"/>
    </row>
    <row r="660" spans="1:14" s="189" customFormat="1" ht="12.75" hidden="1" outlineLevel="2">
      <c r="A660" s="413"/>
      <c r="B660" s="414"/>
      <c r="C660" s="181" t="s">
        <v>1654</v>
      </c>
      <c r="D660" s="101"/>
      <c r="E660" s="144">
        <f>2*(2.3*2+3.1)-1.6</f>
        <v>13.799999999999999</v>
      </c>
      <c r="F660" s="453"/>
      <c r="G660" s="416"/>
      <c r="H660" s="416"/>
      <c r="I660" s="416"/>
      <c r="J660" s="417"/>
      <c r="K660" s="418"/>
      <c r="L660" s="419"/>
      <c r="M660" s="420"/>
      <c r="N660" s="474"/>
    </row>
    <row r="661" spans="1:14" s="189" customFormat="1" ht="12.75" hidden="1" outlineLevel="2">
      <c r="A661" s="413"/>
      <c r="B661" s="414"/>
      <c r="C661" s="181" t="s">
        <v>1655</v>
      </c>
      <c r="D661" s="101"/>
      <c r="E661" s="144">
        <f>2*(3.1+2.3)-1.6</f>
        <v>9.200000000000001</v>
      </c>
      <c r="F661" s="453"/>
      <c r="G661" s="416"/>
      <c r="H661" s="416"/>
      <c r="I661" s="416"/>
      <c r="J661" s="417"/>
      <c r="K661" s="418"/>
      <c r="L661" s="419"/>
      <c r="M661" s="420"/>
      <c r="N661" s="474"/>
    </row>
    <row r="662" spans="1:14" s="189" customFormat="1" ht="12.75" hidden="1" outlineLevel="2">
      <c r="A662" s="413"/>
      <c r="B662" s="414"/>
      <c r="C662" s="181" t="s">
        <v>1656</v>
      </c>
      <c r="D662" s="101"/>
      <c r="E662" s="144">
        <f>2*2*(2.2*2+2.9)-1.6*2</f>
        <v>26.000000000000004</v>
      </c>
      <c r="F662" s="453"/>
      <c r="G662" s="416"/>
      <c r="H662" s="416"/>
      <c r="I662" s="416"/>
      <c r="J662" s="417"/>
      <c r="K662" s="418"/>
      <c r="L662" s="419"/>
      <c r="M662" s="420"/>
      <c r="N662" s="474"/>
    </row>
    <row r="663" spans="1:14" s="189" customFormat="1" ht="12.75" hidden="1" outlineLevel="2">
      <c r="A663" s="413"/>
      <c r="B663" s="414"/>
      <c r="C663" s="181" t="s">
        <v>1649</v>
      </c>
      <c r="D663" s="101"/>
      <c r="E663" s="144">
        <f>2*((0.9+1.4)*2*2+(1.9*2+1.15*2))-1.4*4-1.6</f>
        <v>23.4</v>
      </c>
      <c r="F663" s="453"/>
      <c r="G663" s="416"/>
      <c r="H663" s="416"/>
      <c r="I663" s="416"/>
      <c r="J663" s="417"/>
      <c r="K663" s="418"/>
      <c r="L663" s="419"/>
      <c r="M663" s="420"/>
      <c r="N663" s="474"/>
    </row>
    <row r="664" spans="1:14" s="189" customFormat="1" ht="12.75" hidden="1" outlineLevel="2">
      <c r="A664" s="413"/>
      <c r="B664" s="414"/>
      <c r="C664" s="181" t="s">
        <v>1663</v>
      </c>
      <c r="D664" s="101"/>
      <c r="E664" s="144">
        <f>1.5*2*(2.5+0.975)-1</f>
        <v>9.425</v>
      </c>
      <c r="F664" s="453"/>
      <c r="G664" s="416"/>
      <c r="H664" s="416"/>
      <c r="I664" s="416"/>
      <c r="J664" s="417"/>
      <c r="K664" s="418"/>
      <c r="L664" s="419"/>
      <c r="M664" s="420"/>
      <c r="N664" s="474"/>
    </row>
    <row r="665" spans="1:14" s="189" customFormat="1" ht="12.75" hidden="1" outlineLevel="2">
      <c r="A665" s="413"/>
      <c r="B665" s="414"/>
      <c r="C665" s="181" t="s">
        <v>1664</v>
      </c>
      <c r="D665" s="101"/>
      <c r="E665" s="144">
        <f>1.5*2*(2.3+0.975)-1+3.2*(2.3+0.975)-1</f>
        <v>18.305</v>
      </c>
      <c r="F665" s="453"/>
      <c r="G665" s="416"/>
      <c r="H665" s="416"/>
      <c r="I665" s="416"/>
      <c r="J665" s="417"/>
      <c r="K665" s="418"/>
      <c r="L665" s="419"/>
      <c r="M665" s="420"/>
      <c r="N665" s="474"/>
    </row>
    <row r="666" spans="1:14" s="189" customFormat="1" ht="12.75" hidden="1" outlineLevel="2">
      <c r="A666" s="413"/>
      <c r="B666" s="414"/>
      <c r="C666" s="181" t="s">
        <v>1657</v>
      </c>
      <c r="D666" s="101"/>
      <c r="E666" s="144">
        <f>2*(2.2+2.7)*2-1.6</f>
        <v>18</v>
      </c>
      <c r="F666" s="453"/>
      <c r="G666" s="416"/>
      <c r="H666" s="416"/>
      <c r="I666" s="416"/>
      <c r="J666" s="417"/>
      <c r="K666" s="418"/>
      <c r="L666" s="419"/>
      <c r="M666" s="420"/>
      <c r="N666" s="474"/>
    </row>
    <row r="667" spans="1:14" s="189" customFormat="1" ht="12.75" hidden="1" outlineLevel="2">
      <c r="A667" s="413"/>
      <c r="B667" s="414"/>
      <c r="C667" s="181" t="s">
        <v>1665</v>
      </c>
      <c r="D667" s="101"/>
      <c r="E667" s="144">
        <f>3.2*(0.925+2.08)*2-1.4</f>
        <v>17.832</v>
      </c>
      <c r="F667" s="453"/>
      <c r="G667" s="416"/>
      <c r="H667" s="416"/>
      <c r="I667" s="416"/>
      <c r="J667" s="417"/>
      <c r="K667" s="418"/>
      <c r="L667" s="419"/>
      <c r="M667" s="420"/>
      <c r="N667" s="474"/>
    </row>
    <row r="668" spans="1:14" s="189" customFormat="1" ht="12.75" hidden="1" outlineLevel="2">
      <c r="A668" s="413"/>
      <c r="B668" s="414"/>
      <c r="C668" s="181" t="s">
        <v>1658</v>
      </c>
      <c r="D668" s="101"/>
      <c r="E668" s="144">
        <f>2*(2*3.1+1.85*4+4*1.4)-4*1.4-1.6</f>
        <v>31.200000000000003</v>
      </c>
      <c r="F668" s="453"/>
      <c r="G668" s="416"/>
      <c r="H668" s="416"/>
      <c r="I668" s="416"/>
      <c r="J668" s="417"/>
      <c r="K668" s="418"/>
      <c r="L668" s="419"/>
      <c r="M668" s="420"/>
      <c r="N668" s="474"/>
    </row>
    <row r="669" spans="1:14" s="189" customFormat="1" ht="12.75" hidden="1" outlineLevel="2">
      <c r="A669" s="413"/>
      <c r="B669" s="414"/>
      <c r="C669" s="181" t="s">
        <v>1659</v>
      </c>
      <c r="D669" s="101"/>
      <c r="E669" s="144">
        <f>2*(1.5+2.1)*2-1.8</f>
        <v>12.6</v>
      </c>
      <c r="F669" s="453"/>
      <c r="G669" s="416"/>
      <c r="H669" s="416"/>
      <c r="I669" s="416"/>
      <c r="J669" s="417"/>
      <c r="K669" s="418"/>
      <c r="L669" s="419"/>
      <c r="M669" s="420"/>
      <c r="N669" s="474"/>
    </row>
    <row r="670" spans="1:14" s="189" customFormat="1" ht="12.75" hidden="1" outlineLevel="2">
      <c r="A670" s="413"/>
      <c r="B670" s="414"/>
      <c r="C670" s="181" t="s">
        <v>1660</v>
      </c>
      <c r="D670" s="101"/>
      <c r="E670" s="144">
        <f>2*(2.2+3.15)*2-1.6</f>
        <v>19.799999999999997</v>
      </c>
      <c r="F670" s="453"/>
      <c r="G670" s="416"/>
      <c r="H670" s="416"/>
      <c r="I670" s="416"/>
      <c r="J670" s="417"/>
      <c r="K670" s="418"/>
      <c r="L670" s="419"/>
      <c r="M670" s="420"/>
      <c r="N670" s="474"/>
    </row>
    <row r="671" spans="1:14" s="189" customFormat="1" ht="12.75" hidden="1" outlineLevel="2">
      <c r="A671" s="413"/>
      <c r="B671" s="414"/>
      <c r="C671" s="181" t="s">
        <v>1661</v>
      </c>
      <c r="D671" s="101"/>
      <c r="E671" s="144">
        <f>2*(2.2+3.15)*2-1.6</f>
        <v>19.799999999999997</v>
      </c>
      <c r="F671" s="453"/>
      <c r="G671" s="416"/>
      <c r="H671" s="416"/>
      <c r="I671" s="416"/>
      <c r="J671" s="417"/>
      <c r="K671" s="418"/>
      <c r="L671" s="419"/>
      <c r="M671" s="420"/>
      <c r="N671" s="474"/>
    </row>
    <row r="672" spans="1:14" s="189" customFormat="1" ht="12.75" hidden="1" outlineLevel="2">
      <c r="A672" s="413"/>
      <c r="B672" s="414"/>
      <c r="C672" s="181" t="s">
        <v>1662</v>
      </c>
      <c r="D672" s="101"/>
      <c r="E672" s="144">
        <f>2*(2.7+2.2)*2-1.6</f>
        <v>18</v>
      </c>
      <c r="F672" s="453"/>
      <c r="G672" s="416"/>
      <c r="H672" s="416"/>
      <c r="I672" s="416"/>
      <c r="J672" s="417"/>
      <c r="K672" s="418"/>
      <c r="L672" s="419"/>
      <c r="M672" s="420"/>
      <c r="N672" s="474"/>
    </row>
    <row r="673" spans="1:14" s="189" customFormat="1" ht="12.75" hidden="1" outlineLevel="2">
      <c r="A673" s="413"/>
      <c r="B673" s="414"/>
      <c r="C673" s="102" t="s">
        <v>351</v>
      </c>
      <c r="D673" s="101"/>
      <c r="E673" s="144"/>
      <c r="F673" s="453"/>
      <c r="G673" s="416"/>
      <c r="H673" s="416"/>
      <c r="I673" s="416"/>
      <c r="J673" s="417"/>
      <c r="K673" s="418"/>
      <c r="L673" s="419"/>
      <c r="M673" s="420"/>
      <c r="N673" s="474"/>
    </row>
    <row r="674" spans="1:14" s="189" customFormat="1" ht="12.75" hidden="1" outlineLevel="2">
      <c r="A674" s="413"/>
      <c r="B674" s="414"/>
      <c r="C674" s="181" t="s">
        <v>1666</v>
      </c>
      <c r="D674" s="101"/>
      <c r="E674" s="144">
        <f>2*(2.97+2)*2-1.6</f>
        <v>18.28</v>
      </c>
      <c r="F674" s="453"/>
      <c r="G674" s="416"/>
      <c r="H674" s="416"/>
      <c r="I674" s="416"/>
      <c r="J674" s="417"/>
      <c r="K674" s="418"/>
      <c r="L674" s="419"/>
      <c r="M674" s="420"/>
      <c r="N674" s="474"/>
    </row>
    <row r="675" spans="1:14" s="189" customFormat="1" ht="12.75" hidden="1" outlineLevel="2">
      <c r="A675" s="413"/>
      <c r="B675" s="414"/>
      <c r="C675" s="181" t="s">
        <v>1667</v>
      </c>
      <c r="D675" s="101"/>
      <c r="E675" s="144">
        <f>2*(3.8+2)*2-1.6</f>
        <v>21.599999999999998</v>
      </c>
      <c r="F675" s="453"/>
      <c r="G675" s="416"/>
      <c r="H675" s="416"/>
      <c r="I675" s="416"/>
      <c r="J675" s="417"/>
      <c r="K675" s="418"/>
      <c r="L675" s="419"/>
      <c r="M675" s="420"/>
      <c r="N675" s="474"/>
    </row>
    <row r="676" spans="1:14" s="189" customFormat="1" ht="12.75" hidden="1" outlineLevel="2">
      <c r="A676" s="413"/>
      <c r="B676" s="414"/>
      <c r="C676" s="181" t="s">
        <v>1668</v>
      </c>
      <c r="D676" s="101"/>
      <c r="E676" s="144">
        <f>2*(1.98+2.2)*2-1.6</f>
        <v>15.12</v>
      </c>
      <c r="F676" s="453"/>
      <c r="G676" s="416"/>
      <c r="H676" s="416"/>
      <c r="I676" s="416"/>
      <c r="J676" s="417"/>
      <c r="K676" s="418"/>
      <c r="L676" s="419"/>
      <c r="M676" s="420"/>
      <c r="N676" s="474"/>
    </row>
    <row r="677" spans="1:14" s="189" customFormat="1" ht="12.75" hidden="1" outlineLevel="2">
      <c r="A677" s="413"/>
      <c r="B677" s="414"/>
      <c r="C677" s="181" t="s">
        <v>1669</v>
      </c>
      <c r="D677" s="101"/>
      <c r="E677" s="144">
        <f>2*(2.68+2.2)*2-1.6</f>
        <v>17.92</v>
      </c>
      <c r="F677" s="453"/>
      <c r="G677" s="416"/>
      <c r="H677" s="416"/>
      <c r="I677" s="416"/>
      <c r="J677" s="417"/>
      <c r="K677" s="418"/>
      <c r="L677" s="419"/>
      <c r="M677" s="420"/>
      <c r="N677" s="474"/>
    </row>
    <row r="678" spans="1:14" s="189" customFormat="1" ht="12.75" hidden="1" outlineLevel="2">
      <c r="A678" s="413"/>
      <c r="B678" s="414"/>
      <c r="C678" s="181" t="s">
        <v>1670</v>
      </c>
      <c r="D678" s="101"/>
      <c r="E678" s="144">
        <f>2*(2.2+2.95)*2-1.6</f>
        <v>19</v>
      </c>
      <c r="F678" s="453"/>
      <c r="G678" s="416"/>
      <c r="H678" s="416"/>
      <c r="I678" s="416"/>
      <c r="J678" s="417"/>
      <c r="K678" s="418"/>
      <c r="L678" s="419"/>
      <c r="M678" s="420"/>
      <c r="N678" s="474"/>
    </row>
    <row r="679" spans="1:14" s="189" customFormat="1" ht="12.75" hidden="1" outlineLevel="2">
      <c r="A679" s="413"/>
      <c r="B679" s="414"/>
      <c r="C679" s="181" t="s">
        <v>1671</v>
      </c>
      <c r="D679" s="101"/>
      <c r="E679" s="144">
        <f>2*(2.2+2.58)*2-1.6</f>
        <v>17.52</v>
      </c>
      <c r="F679" s="453"/>
      <c r="G679" s="416"/>
      <c r="H679" s="416"/>
      <c r="I679" s="416"/>
      <c r="J679" s="417"/>
      <c r="K679" s="418"/>
      <c r="L679" s="419"/>
      <c r="M679" s="420"/>
      <c r="N679" s="474"/>
    </row>
    <row r="680" spans="1:14" s="189" customFormat="1" ht="12.75" hidden="1" outlineLevel="2">
      <c r="A680" s="413"/>
      <c r="B680" s="414"/>
      <c r="C680" s="181" t="s">
        <v>1672</v>
      </c>
      <c r="D680" s="101"/>
      <c r="E680" s="144">
        <f>2*(2.3+3)*2-1.6</f>
        <v>19.599999999999998</v>
      </c>
      <c r="F680" s="453"/>
      <c r="G680" s="416"/>
      <c r="H680" s="416"/>
      <c r="I680" s="416"/>
      <c r="J680" s="417"/>
      <c r="K680" s="418"/>
      <c r="L680" s="419"/>
      <c r="M680" s="420"/>
      <c r="N680" s="474"/>
    </row>
    <row r="681" spans="1:14" s="189" customFormat="1" ht="12.75" hidden="1" outlineLevel="2">
      <c r="A681" s="413"/>
      <c r="B681" s="414"/>
      <c r="C681" s="181" t="s">
        <v>1673</v>
      </c>
      <c r="D681" s="101"/>
      <c r="E681" s="144">
        <f>2*(2.2+2.48)*2-1.6</f>
        <v>17.119999999999997</v>
      </c>
      <c r="F681" s="453"/>
      <c r="G681" s="416"/>
      <c r="H681" s="416"/>
      <c r="I681" s="416"/>
      <c r="J681" s="417"/>
      <c r="K681" s="418"/>
      <c r="L681" s="419"/>
      <c r="M681" s="420"/>
      <c r="N681" s="474"/>
    </row>
    <row r="682" spans="1:14" s="189" customFormat="1" ht="12.75" hidden="1" outlineLevel="2">
      <c r="A682" s="413"/>
      <c r="B682" s="414"/>
      <c r="C682" s="181" t="s">
        <v>1674</v>
      </c>
      <c r="D682" s="101"/>
      <c r="E682" s="144">
        <f>2*(3+2.2)*2-1.6</f>
        <v>19.2</v>
      </c>
      <c r="F682" s="453"/>
      <c r="G682" s="416"/>
      <c r="H682" s="416"/>
      <c r="I682" s="416"/>
      <c r="J682" s="417"/>
      <c r="K682" s="418"/>
      <c r="L682" s="419"/>
      <c r="M682" s="420"/>
      <c r="N682" s="474"/>
    </row>
    <row r="683" spans="1:14" s="189" customFormat="1" ht="12.75" hidden="1" outlineLevel="2">
      <c r="A683" s="413"/>
      <c r="B683" s="414"/>
      <c r="C683" s="181" t="s">
        <v>1675</v>
      </c>
      <c r="D683" s="101"/>
      <c r="E683" s="144">
        <f>2*(2.43+2.2)*2-1.6</f>
        <v>16.92</v>
      </c>
      <c r="F683" s="453"/>
      <c r="G683" s="416"/>
      <c r="H683" s="416"/>
      <c r="I683" s="416"/>
      <c r="J683" s="417"/>
      <c r="K683" s="418"/>
      <c r="L683" s="419"/>
      <c r="M683" s="420"/>
      <c r="N683" s="474"/>
    </row>
    <row r="684" spans="1:14" s="189" customFormat="1" ht="12.75" hidden="1" outlineLevel="2">
      <c r="A684" s="413"/>
      <c r="B684" s="414"/>
      <c r="C684" s="181" t="s">
        <v>1683</v>
      </c>
      <c r="D684" s="101"/>
      <c r="E684" s="144">
        <f>1.5*(1.565+0.875)-1.5*(0.7)*2</f>
        <v>1.5600000000000005</v>
      </c>
      <c r="F684" s="453"/>
      <c r="G684" s="416"/>
      <c r="H684" s="416"/>
      <c r="I684" s="416"/>
      <c r="J684" s="417"/>
      <c r="K684" s="418"/>
      <c r="L684" s="419"/>
      <c r="M684" s="420"/>
      <c r="N684" s="474"/>
    </row>
    <row r="685" spans="1:14" s="189" customFormat="1" ht="12.75" hidden="1" outlineLevel="2">
      <c r="A685" s="413"/>
      <c r="B685" s="414"/>
      <c r="C685" s="181" t="s">
        <v>1684</v>
      </c>
      <c r="D685" s="101"/>
      <c r="E685" s="144">
        <f>1.5*(1.565+0.825*2)-1.5*0.7</f>
        <v>3.7725</v>
      </c>
      <c r="F685" s="453"/>
      <c r="G685" s="416"/>
      <c r="H685" s="416"/>
      <c r="I685" s="416"/>
      <c r="J685" s="417"/>
      <c r="K685" s="418"/>
      <c r="L685" s="419"/>
      <c r="M685" s="420"/>
      <c r="N685" s="474"/>
    </row>
    <row r="686" spans="1:14" s="189" customFormat="1" ht="12.75" hidden="1" outlineLevel="2">
      <c r="A686" s="413"/>
      <c r="B686" s="414"/>
      <c r="C686" s="181" t="s">
        <v>1676</v>
      </c>
      <c r="D686" s="101"/>
      <c r="E686" s="144">
        <f>2*3.35*2</f>
        <v>13.4</v>
      </c>
      <c r="F686" s="453"/>
      <c r="G686" s="416"/>
      <c r="H686" s="416"/>
      <c r="I686" s="416"/>
      <c r="J686" s="417"/>
      <c r="K686" s="418"/>
      <c r="L686" s="419"/>
      <c r="M686" s="420"/>
      <c r="N686" s="474"/>
    </row>
    <row r="687" spans="1:14" s="189" customFormat="1" ht="12.75" hidden="1" outlineLevel="2">
      <c r="A687" s="413"/>
      <c r="B687" s="414"/>
      <c r="C687" s="181" t="s">
        <v>1685</v>
      </c>
      <c r="D687" s="101"/>
      <c r="E687" s="144">
        <f>1.5*(1.5+1.225)*2-0.6</f>
        <v>7.575000000000001</v>
      </c>
      <c r="F687" s="453"/>
      <c r="G687" s="416"/>
      <c r="H687" s="416"/>
      <c r="I687" s="416"/>
      <c r="J687" s="417"/>
      <c r="K687" s="418"/>
      <c r="L687" s="419"/>
      <c r="M687" s="420"/>
      <c r="N687" s="474"/>
    </row>
    <row r="688" spans="1:14" s="189" customFormat="1" ht="12.75" hidden="1" outlineLevel="2">
      <c r="A688" s="413"/>
      <c r="B688" s="414"/>
      <c r="C688" s="181" t="s">
        <v>1677</v>
      </c>
      <c r="D688" s="101"/>
      <c r="E688" s="144">
        <f>2*(3+2)*2-1.6</f>
        <v>18.4</v>
      </c>
      <c r="F688" s="453"/>
      <c r="G688" s="416"/>
      <c r="H688" s="416"/>
      <c r="I688" s="416"/>
      <c r="J688" s="417"/>
      <c r="K688" s="418"/>
      <c r="L688" s="419"/>
      <c r="M688" s="420"/>
      <c r="N688" s="474"/>
    </row>
    <row r="689" spans="1:14" s="189" customFormat="1" ht="12.75" hidden="1" outlineLevel="2">
      <c r="A689" s="413"/>
      <c r="B689" s="414"/>
      <c r="C689" s="181" t="s">
        <v>1678</v>
      </c>
      <c r="D689" s="101"/>
      <c r="E689" s="144">
        <f>2*(3+2)*2-1.6</f>
        <v>18.4</v>
      </c>
      <c r="F689" s="453"/>
      <c r="G689" s="416"/>
      <c r="H689" s="416"/>
      <c r="I689" s="416"/>
      <c r="J689" s="417"/>
      <c r="K689" s="418"/>
      <c r="L689" s="419"/>
      <c r="M689" s="420"/>
      <c r="N689" s="474"/>
    </row>
    <row r="690" spans="1:14" s="189" customFormat="1" ht="12.75" hidden="1" outlineLevel="2">
      <c r="A690" s="413"/>
      <c r="B690" s="414"/>
      <c r="C690" s="181" t="s">
        <v>1679</v>
      </c>
      <c r="D690" s="101"/>
      <c r="E690" s="144">
        <f>2*(2.625+2.915)*2-1.6</f>
        <v>20.56</v>
      </c>
      <c r="F690" s="453"/>
      <c r="G690" s="416"/>
      <c r="H690" s="416"/>
      <c r="I690" s="416"/>
      <c r="J690" s="417"/>
      <c r="K690" s="418"/>
      <c r="L690" s="419"/>
      <c r="M690" s="420"/>
      <c r="N690" s="474"/>
    </row>
    <row r="691" spans="1:14" s="189" customFormat="1" ht="12.75" hidden="1" outlineLevel="2">
      <c r="A691" s="413"/>
      <c r="B691" s="414"/>
      <c r="C691" s="181" t="s">
        <v>1680</v>
      </c>
      <c r="D691" s="101"/>
      <c r="E691" s="144">
        <f>2*(2.2+3.25)*2-1.6</f>
        <v>20.2</v>
      </c>
      <c r="F691" s="453"/>
      <c r="G691" s="416"/>
      <c r="H691" s="416"/>
      <c r="I691" s="416"/>
      <c r="J691" s="417"/>
      <c r="K691" s="418"/>
      <c r="L691" s="419"/>
      <c r="M691" s="420"/>
      <c r="N691" s="474"/>
    </row>
    <row r="692" spans="1:14" s="189" customFormat="1" ht="12.75" hidden="1" outlineLevel="2">
      <c r="A692" s="413"/>
      <c r="B692" s="414"/>
      <c r="C692" s="181" t="s">
        <v>1681</v>
      </c>
      <c r="D692" s="101"/>
      <c r="E692" s="144">
        <f>2*(2.2+2.76)*2-1.6</f>
        <v>18.24</v>
      </c>
      <c r="F692" s="453"/>
      <c r="G692" s="416"/>
      <c r="H692" s="416"/>
      <c r="I692" s="416"/>
      <c r="J692" s="417"/>
      <c r="K692" s="418"/>
      <c r="L692" s="419"/>
      <c r="M692" s="420"/>
      <c r="N692" s="474"/>
    </row>
    <row r="693" spans="1:14" s="189" customFormat="1" ht="12.75" hidden="1" outlineLevel="2">
      <c r="A693" s="413"/>
      <c r="B693" s="414"/>
      <c r="C693" s="181" t="s">
        <v>1682</v>
      </c>
      <c r="D693" s="101"/>
      <c r="E693" s="144">
        <f>2*(2.2+2.45)*2-1.6</f>
        <v>17</v>
      </c>
      <c r="F693" s="453"/>
      <c r="G693" s="416"/>
      <c r="H693" s="416"/>
      <c r="I693" s="416"/>
      <c r="J693" s="417"/>
      <c r="K693" s="418"/>
      <c r="L693" s="419"/>
      <c r="M693" s="420"/>
      <c r="N693" s="474"/>
    </row>
    <row r="694" spans="1:14" s="189" customFormat="1" ht="12.75" hidden="1" outlineLevel="2">
      <c r="A694" s="413"/>
      <c r="B694" s="414"/>
      <c r="C694" s="102" t="s">
        <v>596</v>
      </c>
      <c r="D694" s="101"/>
      <c r="E694" s="144"/>
      <c r="F694" s="453"/>
      <c r="G694" s="416"/>
      <c r="H694" s="416"/>
      <c r="I694" s="416"/>
      <c r="J694" s="417"/>
      <c r="K694" s="418"/>
      <c r="L694" s="419"/>
      <c r="M694" s="420"/>
      <c r="N694" s="474"/>
    </row>
    <row r="695" spans="1:14" s="189" customFormat="1" ht="12.75" hidden="1" outlineLevel="2">
      <c r="A695" s="413"/>
      <c r="B695" s="414"/>
      <c r="C695" s="102" t="s">
        <v>1500</v>
      </c>
      <c r="D695" s="101"/>
      <c r="E695" s="144">
        <f>SUM(E674:E694)</f>
        <v>321.3875</v>
      </c>
      <c r="F695" s="453"/>
      <c r="G695" s="416"/>
      <c r="H695" s="416"/>
      <c r="I695" s="416"/>
      <c r="J695" s="417"/>
      <c r="K695" s="418"/>
      <c r="L695" s="419"/>
      <c r="M695" s="420"/>
      <c r="N695" s="474"/>
    </row>
    <row r="696" spans="1:14" s="189" customFormat="1" ht="12.75" hidden="1" outlineLevel="2">
      <c r="A696" s="413"/>
      <c r="B696" s="414"/>
      <c r="C696" s="102" t="s">
        <v>597</v>
      </c>
      <c r="D696" s="101"/>
      <c r="E696" s="144"/>
      <c r="F696" s="453"/>
      <c r="G696" s="416"/>
      <c r="H696" s="416"/>
      <c r="I696" s="416"/>
      <c r="J696" s="417"/>
      <c r="K696" s="418"/>
      <c r="L696" s="419"/>
      <c r="M696" s="420"/>
      <c r="N696" s="474"/>
    </row>
    <row r="697" spans="1:14" s="189" customFormat="1" ht="12.75" hidden="1" outlineLevel="2">
      <c r="A697" s="413"/>
      <c r="B697" s="414"/>
      <c r="C697" s="102" t="s">
        <v>1500</v>
      </c>
      <c r="D697" s="101"/>
      <c r="E697" s="144">
        <f>SUM(E695)</f>
        <v>321.3875</v>
      </c>
      <c r="F697" s="453"/>
      <c r="G697" s="416"/>
      <c r="H697" s="416"/>
      <c r="I697" s="416"/>
      <c r="J697" s="417"/>
      <c r="K697" s="418"/>
      <c r="L697" s="419"/>
      <c r="M697" s="420"/>
      <c r="N697" s="474"/>
    </row>
    <row r="698" spans="1:14" s="189" customFormat="1" ht="12.75" outlineLevel="1" collapsed="1">
      <c r="A698" s="84">
        <v>102</v>
      </c>
      <c r="B698" s="85" t="s">
        <v>376</v>
      </c>
      <c r="C698" s="387" t="s">
        <v>377</v>
      </c>
      <c r="D698" s="85" t="s">
        <v>26</v>
      </c>
      <c r="E698" s="143">
        <f>SUM(E700)</f>
        <v>1368.75695</v>
      </c>
      <c r="F698" s="384">
        <v>0</v>
      </c>
      <c r="G698" s="87">
        <f>SUM(E698*F698)</f>
        <v>0</v>
      </c>
      <c r="H698" s="87">
        <v>0</v>
      </c>
      <c r="I698" s="87">
        <v>0</v>
      </c>
      <c r="J698" s="98">
        <v>0.00185</v>
      </c>
      <c r="K698" s="99">
        <f>SUM(E698*J698)</f>
        <v>2.5322003575</v>
      </c>
      <c r="L698" s="195"/>
      <c r="M698" s="196">
        <f>SUM(E698*L698)</f>
        <v>0</v>
      </c>
      <c r="N698" s="473"/>
    </row>
    <row r="699" spans="1:14" s="189" customFormat="1" ht="12.75" hidden="1" outlineLevel="2">
      <c r="A699" s="100"/>
      <c r="B699" s="106"/>
      <c r="C699" s="102" t="s">
        <v>378</v>
      </c>
      <c r="D699" s="101"/>
      <c r="E699" s="144"/>
      <c r="F699" s="103"/>
      <c r="G699" s="103"/>
      <c r="H699" s="103"/>
      <c r="I699" s="103"/>
      <c r="J699" s="103"/>
      <c r="K699" s="103"/>
      <c r="L699" s="199"/>
      <c r="M699" s="199"/>
      <c r="N699" s="474"/>
    </row>
    <row r="700" spans="1:14" s="189" customFormat="1" ht="12.75" hidden="1" outlineLevel="2">
      <c r="A700" s="100"/>
      <c r="B700" s="106"/>
      <c r="C700" s="102" t="s">
        <v>1686</v>
      </c>
      <c r="D700" s="101"/>
      <c r="E700" s="144">
        <f>SUM(E654)*1.1</f>
        <v>1368.75695</v>
      </c>
      <c r="F700" s="103"/>
      <c r="G700" s="103"/>
      <c r="H700" s="103"/>
      <c r="I700" s="103"/>
      <c r="J700" s="103"/>
      <c r="K700" s="103"/>
      <c r="L700" s="199"/>
      <c r="M700" s="199"/>
      <c r="N700" s="474"/>
    </row>
    <row r="701" spans="1:14" s="189" customFormat="1" ht="12.75" outlineLevel="1" collapsed="1">
      <c r="A701" s="84">
        <v>103</v>
      </c>
      <c r="B701" s="85" t="s">
        <v>455</v>
      </c>
      <c r="C701" s="97" t="s">
        <v>456</v>
      </c>
      <c r="D701" s="85" t="s">
        <v>26</v>
      </c>
      <c r="E701" s="143">
        <f>SUM(E648)</f>
        <v>4746.467</v>
      </c>
      <c r="F701" s="86">
        <v>0</v>
      </c>
      <c r="G701" s="87">
        <f>SUM(E701*F701)</f>
        <v>0</v>
      </c>
      <c r="H701" s="87">
        <v>0</v>
      </c>
      <c r="I701" s="87">
        <v>0</v>
      </c>
      <c r="J701" s="98">
        <v>0.00758</v>
      </c>
      <c r="K701" s="99">
        <f>SUM(E701*J701)</f>
        <v>35.978219859999996</v>
      </c>
      <c r="L701" s="195"/>
      <c r="M701" s="196">
        <f>SUM(E701*L701)</f>
        <v>0</v>
      </c>
      <c r="N701" s="474"/>
    </row>
    <row r="702" spans="1:14" s="189" customFormat="1" ht="12.75" hidden="1" outlineLevel="2">
      <c r="A702" s="100"/>
      <c r="B702" s="106"/>
      <c r="C702" s="102" t="s">
        <v>1244</v>
      </c>
      <c r="D702" s="101"/>
      <c r="E702" s="144"/>
      <c r="F702" s="103"/>
      <c r="G702" s="103"/>
      <c r="H702" s="103"/>
      <c r="I702" s="103"/>
      <c r="J702" s="103"/>
      <c r="K702" s="103"/>
      <c r="L702" s="199"/>
      <c r="M702" s="199"/>
      <c r="N702" s="474"/>
    </row>
    <row r="703" spans="1:14" s="189" customFormat="1" ht="12.75" outlineLevel="1" collapsed="1">
      <c r="A703" s="190">
        <v>104</v>
      </c>
      <c r="B703" s="191" t="s">
        <v>457</v>
      </c>
      <c r="C703" s="227" t="s">
        <v>458</v>
      </c>
      <c r="D703" s="191" t="s">
        <v>182</v>
      </c>
      <c r="E703" s="143">
        <f>SUM(E704:E709)</f>
        <v>3980.4</v>
      </c>
      <c r="F703" s="193">
        <v>0</v>
      </c>
      <c r="G703" s="194">
        <f>SUM(E703*F703)</f>
        <v>0</v>
      </c>
      <c r="H703" s="87">
        <v>0</v>
      </c>
      <c r="I703" s="87">
        <v>0</v>
      </c>
      <c r="J703" s="195">
        <v>0.0003</v>
      </c>
      <c r="K703" s="196">
        <f>SUM(E703*J703)</f>
        <v>1.1941199999999998</v>
      </c>
      <c r="L703" s="195"/>
      <c r="M703" s="196">
        <f>SUM(E703*L703)</f>
        <v>0</v>
      </c>
      <c r="N703" s="474"/>
    </row>
    <row r="704" spans="1:14" s="189" customFormat="1" ht="12.75" hidden="1" outlineLevel="2">
      <c r="A704" s="200"/>
      <c r="B704" s="197"/>
      <c r="C704" s="181" t="s">
        <v>459</v>
      </c>
      <c r="D704" s="198"/>
      <c r="E704" s="144"/>
      <c r="F704" s="199"/>
      <c r="G704" s="199"/>
      <c r="H704" s="199"/>
      <c r="I704" s="199"/>
      <c r="J704" s="199"/>
      <c r="K704" s="199"/>
      <c r="L704" s="199"/>
      <c r="M704" s="199"/>
      <c r="N704" s="474"/>
    </row>
    <row r="705" spans="1:14" s="189" customFormat="1" ht="12.75" hidden="1" outlineLevel="2">
      <c r="A705" s="7"/>
      <c r="B705" s="206"/>
      <c r="C705" s="181" t="s">
        <v>460</v>
      </c>
      <c r="E705" s="144">
        <v>828.4</v>
      </c>
      <c r="F705" s="207"/>
      <c r="N705" s="474"/>
    </row>
    <row r="706" spans="1:14" s="189" customFormat="1" ht="12.75" hidden="1" outlineLevel="2">
      <c r="A706" s="7"/>
      <c r="B706" s="206"/>
      <c r="C706" s="181" t="s">
        <v>461</v>
      </c>
      <c r="E706" s="144">
        <v>233</v>
      </c>
      <c r="F706" s="207"/>
      <c r="N706" s="474"/>
    </row>
    <row r="707" spans="1:14" s="189" customFormat="1" ht="12.75" hidden="1" outlineLevel="2">
      <c r="A707" s="7"/>
      <c r="B707" s="206"/>
      <c r="C707" s="181" t="s">
        <v>462</v>
      </c>
      <c r="E707" s="144"/>
      <c r="F707" s="207"/>
      <c r="N707" s="474"/>
    </row>
    <row r="708" spans="1:14" s="189" customFormat="1" ht="12.75" hidden="1" outlineLevel="2">
      <c r="A708" s="7"/>
      <c r="B708" s="206"/>
      <c r="C708" s="181" t="s">
        <v>463</v>
      </c>
      <c r="E708" s="144">
        <v>2268</v>
      </c>
      <c r="F708" s="207"/>
      <c r="N708" s="474"/>
    </row>
    <row r="709" spans="1:14" s="189" customFormat="1" ht="12.75" hidden="1" outlineLevel="2">
      <c r="A709" s="7"/>
      <c r="B709" s="206"/>
      <c r="C709" s="181" t="s">
        <v>464</v>
      </c>
      <c r="E709" s="144">
        <v>651</v>
      </c>
      <c r="F709" s="207"/>
      <c r="N709" s="474"/>
    </row>
    <row r="710" spans="1:14" s="189" customFormat="1" ht="12.75" outlineLevel="1" collapsed="1">
      <c r="A710" s="190">
        <v>105</v>
      </c>
      <c r="B710" s="191" t="s">
        <v>455</v>
      </c>
      <c r="C710" s="227" t="s">
        <v>465</v>
      </c>
      <c r="D710" s="191" t="s">
        <v>182</v>
      </c>
      <c r="E710" s="143">
        <f>SUM(E711)</f>
        <v>4378.4400000000005</v>
      </c>
      <c r="F710" s="193">
        <v>0</v>
      </c>
      <c r="G710" s="194">
        <f>SUM(E710*F710)</f>
        <v>0</v>
      </c>
      <c r="H710" s="87">
        <v>0</v>
      </c>
      <c r="I710" s="87">
        <v>0</v>
      </c>
      <c r="J710" s="195">
        <v>0.00038</v>
      </c>
      <c r="K710" s="196">
        <f>SUM(E710*J710)</f>
        <v>1.6638072000000004</v>
      </c>
      <c r="L710" s="195"/>
      <c r="M710" s="196">
        <f>SUM(E710*L710)</f>
        <v>0</v>
      </c>
      <c r="N710" s="474"/>
    </row>
    <row r="711" spans="1:14" s="189" customFormat="1" ht="12.75" hidden="1" outlineLevel="2">
      <c r="A711" s="100"/>
      <c r="B711" s="106"/>
      <c r="C711" s="102" t="s">
        <v>467</v>
      </c>
      <c r="D711" s="101"/>
      <c r="E711" s="144">
        <f>3980.4*1.1</f>
        <v>4378.4400000000005</v>
      </c>
      <c r="F711" s="103"/>
      <c r="G711" s="103"/>
      <c r="H711" s="103"/>
      <c r="I711" s="103"/>
      <c r="J711" s="103"/>
      <c r="K711" s="103"/>
      <c r="L711" s="199"/>
      <c r="M711" s="199"/>
      <c r="N711" s="474"/>
    </row>
    <row r="712" spans="1:14" s="189" customFormat="1" ht="12.75" outlineLevel="1" collapsed="1">
      <c r="A712" s="190">
        <v>106</v>
      </c>
      <c r="B712" s="191" t="s">
        <v>417</v>
      </c>
      <c r="C712" s="192" t="s">
        <v>418</v>
      </c>
      <c r="D712" s="191" t="s">
        <v>26</v>
      </c>
      <c r="E712" s="143">
        <f>SUM(E654)</f>
        <v>1244.3245</v>
      </c>
      <c r="F712" s="193">
        <v>0</v>
      </c>
      <c r="G712" s="194">
        <f>SUM(E712*F712)</f>
        <v>0</v>
      </c>
      <c r="H712" s="87">
        <v>0</v>
      </c>
      <c r="I712" s="87">
        <v>0</v>
      </c>
      <c r="J712" s="195"/>
      <c r="K712" s="196">
        <f>SUM(E712*J712)</f>
        <v>0</v>
      </c>
      <c r="L712" s="195"/>
      <c r="M712" s="196">
        <f>SUM(E712*L712)</f>
        <v>0</v>
      </c>
      <c r="N712" s="473"/>
    </row>
    <row r="713" spans="1:14" s="189" customFormat="1" ht="12.75" outlineLevel="1">
      <c r="A713" s="190">
        <v>107</v>
      </c>
      <c r="B713" s="191" t="s">
        <v>1462</v>
      </c>
      <c r="C713" s="192" t="s">
        <v>1463</v>
      </c>
      <c r="D713" s="191" t="s">
        <v>55</v>
      </c>
      <c r="E713" s="143">
        <v>1843.54</v>
      </c>
      <c r="F713" s="193">
        <v>0</v>
      </c>
      <c r="G713" s="194">
        <f>SUM(E713*F713)</f>
        <v>0</v>
      </c>
      <c r="H713" s="87">
        <v>0</v>
      </c>
      <c r="I713" s="87">
        <v>0</v>
      </c>
      <c r="J713" s="195">
        <v>0.001</v>
      </c>
      <c r="K713" s="196">
        <f>SUM(E713*J713)</f>
        <v>1.84354</v>
      </c>
      <c r="L713" s="195"/>
      <c r="M713" s="196"/>
      <c r="N713" s="473"/>
    </row>
    <row r="714" spans="1:14" s="189" customFormat="1" ht="15.75" outlineLevel="1">
      <c r="A714" s="190">
        <v>108</v>
      </c>
      <c r="B714" s="191" t="s">
        <v>379</v>
      </c>
      <c r="C714" s="192" t="s">
        <v>380</v>
      </c>
      <c r="D714" s="191" t="s">
        <v>23</v>
      </c>
      <c r="E714" s="143">
        <v>0.4</v>
      </c>
      <c r="F714" s="193">
        <v>0</v>
      </c>
      <c r="G714" s="194">
        <f>SUM(E714*F714)</f>
        <v>0</v>
      </c>
      <c r="H714" s="87">
        <v>0</v>
      </c>
      <c r="I714" s="87">
        <v>0</v>
      </c>
      <c r="J714" s="195"/>
      <c r="K714" s="196">
        <f>SUM(E714*J714)</f>
        <v>0</v>
      </c>
      <c r="L714" s="195"/>
      <c r="M714" s="196">
        <f>SUM(E714*L714)</f>
        <v>0</v>
      </c>
      <c r="N714" s="476"/>
    </row>
    <row r="715" spans="1:14" s="189" customFormat="1" ht="12.75">
      <c r="A715" s="93"/>
      <c r="B715" s="105"/>
      <c r="C715" s="94" t="s">
        <v>656</v>
      </c>
      <c r="D715" s="83"/>
      <c r="E715" s="142"/>
      <c r="F715" s="95"/>
      <c r="G715" s="96">
        <f>SUM(G716:G749)</f>
        <v>0</v>
      </c>
      <c r="H715" s="96">
        <f>SUM(H716:H749)</f>
        <v>0</v>
      </c>
      <c r="I715" s="96">
        <f>SUM(I716:I749)</f>
        <v>0</v>
      </c>
      <c r="J715" s="96"/>
      <c r="K715" s="96">
        <f>SUM(K716:K749)</f>
        <v>12.735788999999999</v>
      </c>
      <c r="L715" s="205"/>
      <c r="M715" s="205">
        <f>SUM(M716:M749)</f>
        <v>0</v>
      </c>
      <c r="N715" s="474"/>
    </row>
    <row r="716" spans="1:14" s="189" customFormat="1" ht="12.75" outlineLevel="1">
      <c r="A716" s="84">
        <v>109</v>
      </c>
      <c r="B716" s="85" t="s">
        <v>657</v>
      </c>
      <c r="C716" s="97" t="s">
        <v>658</v>
      </c>
      <c r="D716" s="85" t="s">
        <v>54</v>
      </c>
      <c r="E716" s="143">
        <v>480</v>
      </c>
      <c r="F716" s="86">
        <v>0</v>
      </c>
      <c r="G716" s="87">
        <f>SUM(E716*F716)</f>
        <v>0</v>
      </c>
      <c r="H716" s="87">
        <v>0</v>
      </c>
      <c r="I716" s="87">
        <v>0</v>
      </c>
      <c r="J716" s="98">
        <v>0.00617</v>
      </c>
      <c r="K716" s="99">
        <f>SUM(E716*J716)</f>
        <v>2.9616000000000002</v>
      </c>
      <c r="L716" s="195"/>
      <c r="M716" s="196">
        <f>SUM(E716*L716)</f>
        <v>0</v>
      </c>
      <c r="N716" s="474"/>
    </row>
    <row r="717" spans="1:14" s="189" customFormat="1" ht="12.75" outlineLevel="1">
      <c r="A717" s="84">
        <v>110</v>
      </c>
      <c r="B717" s="85" t="s">
        <v>659</v>
      </c>
      <c r="C717" s="97" t="s">
        <v>660</v>
      </c>
      <c r="D717" s="85" t="s">
        <v>26</v>
      </c>
      <c r="E717" s="145">
        <f>SUM(E718:E746)</f>
        <v>635.0999999999999</v>
      </c>
      <c r="F717" s="86">
        <v>0</v>
      </c>
      <c r="G717" s="87">
        <f>SUM(E717*F717)</f>
        <v>0</v>
      </c>
      <c r="H717" s="87">
        <v>0</v>
      </c>
      <c r="I717" s="87">
        <v>0</v>
      </c>
      <c r="J717" s="98">
        <v>0.003</v>
      </c>
      <c r="K717" s="99">
        <f>SUM(E717*J717)</f>
        <v>1.9052999999999998</v>
      </c>
      <c r="L717" s="195"/>
      <c r="M717" s="196">
        <f>SUM(E717*L717)</f>
        <v>0</v>
      </c>
      <c r="N717" s="474"/>
    </row>
    <row r="718" spans="1:14" s="189" customFormat="1" ht="12.75" hidden="1" outlineLevel="2">
      <c r="A718" s="100"/>
      <c r="B718" s="106"/>
      <c r="C718" s="102" t="s">
        <v>349</v>
      </c>
      <c r="D718" s="101"/>
      <c r="E718" s="144"/>
      <c r="F718" s="103"/>
      <c r="G718" s="103"/>
      <c r="H718" s="103"/>
      <c r="I718" s="103"/>
      <c r="J718" s="103"/>
      <c r="K718" s="103"/>
      <c r="L718" s="199"/>
      <c r="M718" s="199"/>
      <c r="N718" s="474"/>
    </row>
    <row r="719" spans="1:14" s="189" customFormat="1" ht="12.75" hidden="1" outlineLevel="2">
      <c r="A719" s="100"/>
      <c r="B719" s="106"/>
      <c r="C719" s="102" t="s">
        <v>1245</v>
      </c>
      <c r="D719" s="101"/>
      <c r="E719" s="144">
        <f>2*(3.4*4-2*0.9)</f>
        <v>23.599999999999998</v>
      </c>
      <c r="F719" s="103"/>
      <c r="G719" s="103"/>
      <c r="H719" s="103"/>
      <c r="I719" s="103"/>
      <c r="J719" s="103"/>
      <c r="K719" s="103"/>
      <c r="L719" s="199"/>
      <c r="M719" s="199"/>
      <c r="N719" s="474"/>
    </row>
    <row r="720" spans="1:14" s="189" customFormat="1" ht="12.75" hidden="1" outlineLevel="2">
      <c r="A720" s="100"/>
      <c r="B720" s="106"/>
      <c r="C720" s="102" t="s">
        <v>1246</v>
      </c>
      <c r="D720" s="101"/>
      <c r="E720" s="144">
        <f>2*(12.33+2+1.5+2+5.85+17+5.85-3*0.9)</f>
        <v>87.66</v>
      </c>
      <c r="F720" s="103"/>
      <c r="G720" s="103"/>
      <c r="H720" s="103"/>
      <c r="I720" s="103"/>
      <c r="J720" s="103"/>
      <c r="K720" s="103"/>
      <c r="L720" s="199"/>
      <c r="M720" s="199"/>
      <c r="N720" s="474"/>
    </row>
    <row r="721" spans="1:14" s="189" customFormat="1" ht="12.75" hidden="1" outlineLevel="2">
      <c r="A721" s="100"/>
      <c r="B721" s="106"/>
      <c r="C721" s="102" t="s">
        <v>1247</v>
      </c>
      <c r="D721" s="101"/>
      <c r="E721" s="144">
        <f>2*((5.85+2.8)*2-3*0.9)</f>
        <v>29.199999999999996</v>
      </c>
      <c r="F721" s="103"/>
      <c r="G721" s="103"/>
      <c r="H721" s="103"/>
      <c r="I721" s="103"/>
      <c r="J721" s="103"/>
      <c r="K721" s="103"/>
      <c r="L721" s="199"/>
      <c r="M721" s="199"/>
      <c r="N721" s="474"/>
    </row>
    <row r="722" spans="1:14" s="189" customFormat="1" ht="12.75" hidden="1" outlineLevel="2">
      <c r="A722" s="100"/>
      <c r="B722" s="106"/>
      <c r="C722" s="102" t="s">
        <v>1248</v>
      </c>
      <c r="D722" s="101"/>
      <c r="E722" s="144">
        <f>2*((2.2+1.85-0.7)*2+(2.2+0.9)*2-0.7)</f>
        <v>24.400000000000006</v>
      </c>
      <c r="F722" s="103"/>
      <c r="G722" s="103"/>
      <c r="H722" s="103"/>
      <c r="I722" s="103"/>
      <c r="J722" s="103"/>
      <c r="K722" s="103"/>
      <c r="L722" s="199"/>
      <c r="M722" s="199"/>
      <c r="N722" s="474"/>
    </row>
    <row r="723" spans="1:14" s="189" customFormat="1" ht="12.75" hidden="1" outlineLevel="2">
      <c r="A723" s="100"/>
      <c r="B723" s="106"/>
      <c r="C723" s="102" t="s">
        <v>1249</v>
      </c>
      <c r="D723" s="101"/>
      <c r="E723" s="144">
        <f>2*(1.2+2.2)*2-1.4</f>
        <v>12.200000000000001</v>
      </c>
      <c r="F723" s="103"/>
      <c r="G723" s="103"/>
      <c r="H723" s="103"/>
      <c r="I723" s="103"/>
      <c r="J723" s="103"/>
      <c r="K723" s="103"/>
      <c r="L723" s="199"/>
      <c r="M723" s="199"/>
      <c r="N723" s="474"/>
    </row>
    <row r="724" spans="1:14" s="189" customFormat="1" ht="12.75" hidden="1" outlineLevel="2">
      <c r="A724" s="100"/>
      <c r="B724" s="106"/>
      <c r="C724" s="102" t="s">
        <v>1250</v>
      </c>
      <c r="D724" s="101"/>
      <c r="E724" s="144">
        <f>2*(2.4*1.5)*2-1.8</f>
        <v>12.599999999999998</v>
      </c>
      <c r="F724" s="103"/>
      <c r="G724" s="103"/>
      <c r="H724" s="103"/>
      <c r="I724" s="103"/>
      <c r="J724" s="103"/>
      <c r="K724" s="103"/>
      <c r="L724" s="199"/>
      <c r="M724" s="199"/>
      <c r="N724" s="474"/>
    </row>
    <row r="725" spans="1:14" s="189" customFormat="1" ht="12.75" hidden="1" outlineLevel="2">
      <c r="A725" s="100"/>
      <c r="B725" s="106"/>
      <c r="C725" s="102" t="s">
        <v>1251</v>
      </c>
      <c r="D725" s="101"/>
      <c r="E725" s="144">
        <f>2*(2*(3+1.55))-1.4</f>
        <v>16.8</v>
      </c>
      <c r="F725" s="103"/>
      <c r="G725" s="103"/>
      <c r="H725" s="103"/>
      <c r="I725" s="103"/>
      <c r="J725" s="103"/>
      <c r="K725" s="103"/>
      <c r="L725" s="199"/>
      <c r="M725" s="199"/>
      <c r="N725" s="474"/>
    </row>
    <row r="726" spans="1:14" s="189" customFormat="1" ht="12.75" hidden="1" outlineLevel="2">
      <c r="A726" s="100"/>
      <c r="B726" s="106"/>
      <c r="C726" s="102" t="s">
        <v>1252</v>
      </c>
      <c r="D726" s="101"/>
      <c r="E726" s="144">
        <f>2*(2*(0.9+1.4)*2*2-2*1.4+2*(1.35+1.95))-1.4*3</f>
        <v>40.19999999999999</v>
      </c>
      <c r="F726" s="103"/>
      <c r="G726" s="103"/>
      <c r="H726" s="103"/>
      <c r="I726" s="103"/>
      <c r="J726" s="103"/>
      <c r="K726" s="103"/>
      <c r="L726" s="199"/>
      <c r="M726" s="199"/>
      <c r="N726" s="474"/>
    </row>
    <row r="727" spans="1:14" s="189" customFormat="1" ht="12.75" hidden="1" outlineLevel="2">
      <c r="A727" s="100"/>
      <c r="B727" s="106"/>
      <c r="C727" s="102" t="s">
        <v>1253</v>
      </c>
      <c r="D727" s="101"/>
      <c r="E727" s="144">
        <f>2*(2*(0.9+1.4)*2*2-2*1.4+2*(1.35+1.95))-1.4*3</f>
        <v>40.19999999999999</v>
      </c>
      <c r="F727" s="103"/>
      <c r="G727" s="103"/>
      <c r="H727" s="103"/>
      <c r="I727" s="103"/>
      <c r="J727" s="103"/>
      <c r="K727" s="103"/>
      <c r="L727" s="199"/>
      <c r="M727" s="199"/>
      <c r="N727" s="474"/>
    </row>
    <row r="728" spans="1:14" s="189" customFormat="1" ht="12.75" hidden="1" outlineLevel="2">
      <c r="A728" s="100"/>
      <c r="B728" s="106"/>
      <c r="C728" s="102" t="s">
        <v>1254</v>
      </c>
      <c r="D728" s="101"/>
      <c r="E728" s="144">
        <f>2*2*(3.35+1.6)-1.4</f>
        <v>18.400000000000002</v>
      </c>
      <c r="F728" s="103"/>
      <c r="G728" s="103"/>
      <c r="H728" s="103"/>
      <c r="I728" s="103"/>
      <c r="J728" s="103"/>
      <c r="K728" s="103"/>
      <c r="L728" s="199"/>
      <c r="M728" s="199"/>
      <c r="N728" s="474"/>
    </row>
    <row r="729" spans="1:14" s="189" customFormat="1" ht="12.75" hidden="1" outlineLevel="2">
      <c r="A729" s="100"/>
      <c r="B729" s="106"/>
      <c r="C729" s="102" t="s">
        <v>1271</v>
      </c>
      <c r="D729" s="101"/>
      <c r="E729" s="144">
        <f>2*2*(1.65+1.95)-3*1.4+2*2*(1.4+0.8)*2-2*1.4</f>
        <v>25</v>
      </c>
      <c r="F729" s="103"/>
      <c r="G729" s="103"/>
      <c r="H729" s="103"/>
      <c r="I729" s="103"/>
      <c r="J729" s="103"/>
      <c r="K729" s="103"/>
      <c r="L729" s="199"/>
      <c r="M729" s="199"/>
      <c r="N729" s="474"/>
    </row>
    <row r="730" spans="1:14" s="189" customFormat="1" ht="12.75" hidden="1" outlineLevel="2">
      <c r="A730" s="100"/>
      <c r="B730" s="106"/>
      <c r="C730" s="102" t="s">
        <v>1255</v>
      </c>
      <c r="D730" s="101"/>
      <c r="E730" s="144">
        <f>2*2*(3.7+1.45)-1.8</f>
        <v>18.8</v>
      </c>
      <c r="F730" s="103"/>
      <c r="G730" s="103"/>
      <c r="H730" s="103"/>
      <c r="I730" s="103"/>
      <c r="J730" s="103"/>
      <c r="K730" s="103"/>
      <c r="L730" s="199"/>
      <c r="M730" s="199"/>
      <c r="N730" s="474"/>
    </row>
    <row r="731" spans="1:14" s="189" customFormat="1" ht="12.75" hidden="1" outlineLevel="2">
      <c r="A731" s="100"/>
      <c r="B731" s="106"/>
      <c r="C731" s="102" t="s">
        <v>1267</v>
      </c>
      <c r="D731" s="101"/>
      <c r="E731" s="144">
        <f>2*2*(1.025+2.7)-1.4</f>
        <v>13.5</v>
      </c>
      <c r="F731" s="103"/>
      <c r="G731" s="103"/>
      <c r="H731" s="103"/>
      <c r="I731" s="103"/>
      <c r="J731" s="103"/>
      <c r="K731" s="103"/>
      <c r="L731" s="199"/>
      <c r="M731" s="199"/>
      <c r="N731" s="474"/>
    </row>
    <row r="732" spans="1:14" s="189" customFormat="1" ht="12.75" hidden="1" outlineLevel="2">
      <c r="A732" s="100"/>
      <c r="B732" s="106"/>
      <c r="C732" s="102" t="s">
        <v>1268</v>
      </c>
      <c r="D732" s="101"/>
      <c r="E732" s="144">
        <f>2*2*(2.985+1.485)-1.4+3*2*(1.4+0.9)-3*1.4</f>
        <v>26.080000000000002</v>
      </c>
      <c r="F732" s="103"/>
      <c r="G732" s="103"/>
      <c r="H732" s="103"/>
      <c r="I732" s="103"/>
      <c r="J732" s="103"/>
      <c r="K732" s="103"/>
      <c r="L732" s="199"/>
      <c r="M732" s="199"/>
      <c r="N732" s="474"/>
    </row>
    <row r="733" spans="1:14" s="189" customFormat="1" ht="12.75" hidden="1" outlineLevel="2">
      <c r="A733" s="100"/>
      <c r="B733" s="106"/>
      <c r="C733" s="102" t="s">
        <v>1257</v>
      </c>
      <c r="D733" s="101"/>
      <c r="E733" s="144">
        <f>1.5*1.5</f>
        <v>2.25</v>
      </c>
      <c r="F733" s="103"/>
      <c r="G733" s="103"/>
      <c r="H733" s="103"/>
      <c r="I733" s="103"/>
      <c r="J733" s="103"/>
      <c r="K733" s="103"/>
      <c r="L733" s="199"/>
      <c r="M733" s="199"/>
      <c r="N733" s="474"/>
    </row>
    <row r="734" spans="1:14" s="189" customFormat="1" ht="12.75" hidden="1" outlineLevel="2">
      <c r="A734" s="100"/>
      <c r="B734" s="106"/>
      <c r="C734" s="102" t="s">
        <v>1258</v>
      </c>
      <c r="D734" s="101"/>
      <c r="E734" s="144">
        <f>1.5*1.5</f>
        <v>2.25</v>
      </c>
      <c r="F734" s="103"/>
      <c r="G734" s="103"/>
      <c r="H734" s="103"/>
      <c r="I734" s="103"/>
      <c r="J734" s="103"/>
      <c r="K734" s="103"/>
      <c r="L734" s="199"/>
      <c r="M734" s="199"/>
      <c r="N734" s="474"/>
    </row>
    <row r="735" spans="1:14" s="189" customFormat="1" ht="12.75" hidden="1" outlineLevel="2">
      <c r="A735" s="100"/>
      <c r="B735" s="106"/>
      <c r="C735" s="102" t="s">
        <v>1256</v>
      </c>
      <c r="D735" s="101"/>
      <c r="E735" s="144">
        <f>2*(2.46+2.45)*2-1.6</f>
        <v>18.04</v>
      </c>
      <c r="F735" s="103"/>
      <c r="G735" s="103"/>
      <c r="H735" s="103"/>
      <c r="I735" s="103"/>
      <c r="J735" s="103"/>
      <c r="K735" s="103"/>
      <c r="L735" s="199"/>
      <c r="M735" s="199"/>
      <c r="N735" s="474"/>
    </row>
    <row r="736" spans="1:14" s="189" customFormat="1" ht="12.75" hidden="1" outlineLevel="2">
      <c r="A736" s="100"/>
      <c r="B736" s="106"/>
      <c r="C736" s="102" t="s">
        <v>1259</v>
      </c>
      <c r="D736" s="101"/>
      <c r="E736" s="144">
        <f>2*(3.1+5.25+3.1+5.25)-1.8</f>
        <v>31.599999999999998</v>
      </c>
      <c r="F736" s="103"/>
      <c r="G736" s="103"/>
      <c r="H736" s="103"/>
      <c r="I736" s="103"/>
      <c r="J736" s="103"/>
      <c r="K736" s="103"/>
      <c r="L736" s="199"/>
      <c r="M736" s="199"/>
      <c r="N736" s="474"/>
    </row>
    <row r="737" spans="1:14" s="189" customFormat="1" ht="12.75" hidden="1" outlineLevel="2">
      <c r="A737" s="100"/>
      <c r="B737" s="106"/>
      <c r="C737" s="102" t="s">
        <v>1260</v>
      </c>
      <c r="D737" s="101"/>
      <c r="E737" s="144">
        <f>2*2*(5.34+3.1)-1.8</f>
        <v>31.959999999999997</v>
      </c>
      <c r="F737" s="103"/>
      <c r="G737" s="103"/>
      <c r="H737" s="103"/>
      <c r="I737" s="103"/>
      <c r="J737" s="103"/>
      <c r="K737" s="103"/>
      <c r="L737" s="199"/>
      <c r="M737" s="199"/>
      <c r="N737" s="474"/>
    </row>
    <row r="738" spans="1:14" s="189" customFormat="1" ht="12.75" hidden="1" outlineLevel="2">
      <c r="A738" s="100"/>
      <c r="B738" s="106"/>
      <c r="C738" s="102" t="s">
        <v>1261</v>
      </c>
      <c r="D738" s="101"/>
      <c r="E738" s="144">
        <f>2*2*(3.565+2.6)-2*1.6</f>
        <v>21.46</v>
      </c>
      <c r="F738" s="103"/>
      <c r="G738" s="103"/>
      <c r="H738" s="103"/>
      <c r="I738" s="103"/>
      <c r="J738" s="103"/>
      <c r="K738" s="103"/>
      <c r="L738" s="199"/>
      <c r="M738" s="199"/>
      <c r="N738" s="474"/>
    </row>
    <row r="739" spans="1:14" s="189" customFormat="1" ht="12.75" hidden="1" outlineLevel="2">
      <c r="A739" s="100"/>
      <c r="B739" s="106"/>
      <c r="C739" s="102" t="s">
        <v>1262</v>
      </c>
      <c r="D739" s="101"/>
      <c r="E739" s="144">
        <f>2*2*(2.1+1.01)-2*1.6+2*2*(1.5+2.1)-1.6-2*1.4+2*2*(1.4+1)-2*1.4</f>
        <v>26.039999999999996</v>
      </c>
      <c r="F739" s="103"/>
      <c r="G739" s="103"/>
      <c r="H739" s="103"/>
      <c r="I739" s="103"/>
      <c r="J739" s="103"/>
      <c r="K739" s="103"/>
      <c r="L739" s="199"/>
      <c r="M739" s="199"/>
      <c r="N739" s="474"/>
    </row>
    <row r="740" spans="1:14" s="189" customFormat="1" ht="12.75" hidden="1" outlineLevel="2">
      <c r="A740" s="100"/>
      <c r="B740" s="106"/>
      <c r="C740" s="102" t="s">
        <v>1263</v>
      </c>
      <c r="D740" s="101"/>
      <c r="E740" s="144">
        <f>2*2*(2.1+1.01)-2*1.6+2*2*(1.5+2.1)-1.6-2*1.4+2*2*(1.4+1)-2*1.4</f>
        <v>26.039999999999996</v>
      </c>
      <c r="F740" s="103"/>
      <c r="G740" s="103"/>
      <c r="H740" s="103"/>
      <c r="I740" s="103"/>
      <c r="J740" s="103"/>
      <c r="K740" s="103"/>
      <c r="L740" s="199"/>
      <c r="M740" s="199"/>
      <c r="N740" s="474"/>
    </row>
    <row r="741" spans="1:14" s="189" customFormat="1" ht="12.75" hidden="1" outlineLevel="2">
      <c r="A741" s="100"/>
      <c r="B741" s="106"/>
      <c r="C741" s="102" t="s">
        <v>1264</v>
      </c>
      <c r="D741" s="101"/>
      <c r="E741" s="144">
        <f>2*2*(2.825+1)-1.6</f>
        <v>13.700000000000001</v>
      </c>
      <c r="F741" s="103"/>
      <c r="G741" s="103"/>
      <c r="H741" s="103"/>
      <c r="I741" s="103"/>
      <c r="J741" s="103"/>
      <c r="K741" s="103"/>
      <c r="L741" s="199"/>
      <c r="M741" s="199"/>
      <c r="N741" s="474"/>
    </row>
    <row r="742" spans="1:14" s="189" customFormat="1" ht="12.75" hidden="1" outlineLevel="2">
      <c r="A742" s="100"/>
      <c r="B742" s="106"/>
      <c r="C742" s="102" t="s">
        <v>1265</v>
      </c>
      <c r="D742" s="101"/>
      <c r="E742" s="144">
        <f>2*2*(1.945+2.345)-1.8</f>
        <v>15.36</v>
      </c>
      <c r="F742" s="103"/>
      <c r="G742" s="103"/>
      <c r="H742" s="103"/>
      <c r="I742" s="103"/>
      <c r="J742" s="103"/>
      <c r="K742" s="103"/>
      <c r="L742" s="199"/>
      <c r="M742" s="199"/>
      <c r="N742" s="474"/>
    </row>
    <row r="743" spans="1:14" s="189" customFormat="1" ht="12.75" hidden="1" outlineLevel="2">
      <c r="A743" s="100"/>
      <c r="B743" s="106"/>
      <c r="C743" s="102" t="s">
        <v>1266</v>
      </c>
      <c r="D743" s="101"/>
      <c r="E743" s="144">
        <f>2*2*(1.945+2.345)-1.8</f>
        <v>15.36</v>
      </c>
      <c r="F743" s="103"/>
      <c r="G743" s="103"/>
      <c r="H743" s="103"/>
      <c r="I743" s="103"/>
      <c r="J743" s="103"/>
      <c r="K743" s="103"/>
      <c r="L743" s="199"/>
      <c r="M743" s="199"/>
      <c r="N743" s="474"/>
    </row>
    <row r="744" spans="1:14" s="189" customFormat="1" ht="12.75" hidden="1" outlineLevel="2">
      <c r="A744" s="100"/>
      <c r="B744" s="106"/>
      <c r="C744" s="102" t="s">
        <v>1269</v>
      </c>
      <c r="D744" s="101"/>
      <c r="E744" s="144">
        <f>2*2*(1.5+1.7)-1.2</f>
        <v>11.600000000000001</v>
      </c>
      <c r="F744" s="103"/>
      <c r="G744" s="103"/>
      <c r="H744" s="103"/>
      <c r="I744" s="103"/>
      <c r="J744" s="103"/>
      <c r="K744" s="103"/>
      <c r="L744" s="199"/>
      <c r="M744" s="199"/>
      <c r="N744" s="474"/>
    </row>
    <row r="745" spans="1:14" s="189" customFormat="1" ht="12.75" hidden="1" outlineLevel="2">
      <c r="A745" s="100"/>
      <c r="B745" s="106"/>
      <c r="C745" s="102" t="s">
        <v>350</v>
      </c>
      <c r="D745" s="101"/>
      <c r="E745" s="144"/>
      <c r="F745" s="103"/>
      <c r="G745" s="103"/>
      <c r="H745" s="103"/>
      <c r="I745" s="103"/>
      <c r="J745" s="103"/>
      <c r="K745" s="103"/>
      <c r="L745" s="199"/>
      <c r="M745" s="199"/>
      <c r="N745" s="474"/>
    </row>
    <row r="746" spans="1:14" s="189" customFormat="1" ht="12.75" hidden="1" outlineLevel="2">
      <c r="A746" s="100"/>
      <c r="B746" s="106"/>
      <c r="C746" s="102" t="s">
        <v>1270</v>
      </c>
      <c r="D746" s="101"/>
      <c r="E746" s="144">
        <f>2*(1.5+1.65+1.75+6+2.7+0.6+0.6+4.1)-1.6-1.8*3</f>
        <v>30.799999999999997</v>
      </c>
      <c r="F746" s="103"/>
      <c r="G746" s="103"/>
      <c r="H746" s="103"/>
      <c r="I746" s="103"/>
      <c r="J746" s="103"/>
      <c r="K746" s="103"/>
      <c r="L746" s="199"/>
      <c r="M746" s="199"/>
      <c r="N746" s="474"/>
    </row>
    <row r="747" spans="1:14" s="189" customFormat="1" ht="12.75" outlineLevel="1" collapsed="1">
      <c r="A747" s="84">
        <v>111</v>
      </c>
      <c r="B747" s="85" t="s">
        <v>661</v>
      </c>
      <c r="C747" s="97" t="s">
        <v>662</v>
      </c>
      <c r="D747" s="85" t="s">
        <v>26</v>
      </c>
      <c r="E747" s="143">
        <f>SUM(E748)</f>
        <v>666.8549999999999</v>
      </c>
      <c r="F747" s="86">
        <v>0</v>
      </c>
      <c r="G747" s="87">
        <f>SUM(E747*F747)</f>
        <v>0</v>
      </c>
      <c r="H747" s="87">
        <v>0</v>
      </c>
      <c r="I747" s="87">
        <v>0</v>
      </c>
      <c r="J747" s="98">
        <v>0.0118</v>
      </c>
      <c r="K747" s="99">
        <f>SUM(E747*J747)</f>
        <v>7.8688889999999985</v>
      </c>
      <c r="L747" s="195"/>
      <c r="M747" s="196">
        <f>SUM(E747*L747)</f>
        <v>0</v>
      </c>
      <c r="N747" s="474"/>
    </row>
    <row r="748" spans="1:14" s="189" customFormat="1" ht="12.75" hidden="1" outlineLevel="2">
      <c r="A748" s="100"/>
      <c r="B748" s="106"/>
      <c r="C748" s="102" t="s">
        <v>1272</v>
      </c>
      <c r="D748" s="101"/>
      <c r="E748" s="144">
        <f>SUM(E717)*1.05</f>
        <v>666.8549999999999</v>
      </c>
      <c r="F748" s="103"/>
      <c r="G748" s="103"/>
      <c r="H748" s="103"/>
      <c r="I748" s="103"/>
      <c r="J748" s="103"/>
      <c r="K748" s="103"/>
      <c r="L748" s="199"/>
      <c r="M748" s="199"/>
      <c r="N748" s="474"/>
    </row>
    <row r="749" spans="1:14" s="189" customFormat="1" ht="12.75" outlineLevel="1" collapsed="1">
      <c r="A749" s="84">
        <v>112</v>
      </c>
      <c r="B749" s="85" t="s">
        <v>663</v>
      </c>
      <c r="C749" s="97" t="s">
        <v>664</v>
      </c>
      <c r="D749" s="85" t="s">
        <v>23</v>
      </c>
      <c r="E749" s="143">
        <v>3.54</v>
      </c>
      <c r="F749" s="86">
        <v>0</v>
      </c>
      <c r="G749" s="87">
        <f>SUM(E749*F749)</f>
        <v>0</v>
      </c>
      <c r="H749" s="87">
        <v>0</v>
      </c>
      <c r="I749" s="87">
        <v>0</v>
      </c>
      <c r="J749" s="98"/>
      <c r="K749" s="99">
        <f>SUM(E749*J749)</f>
        <v>0</v>
      </c>
      <c r="L749" s="195"/>
      <c r="M749" s="196">
        <f>SUM(E749*L749)</f>
        <v>0</v>
      </c>
      <c r="N749" s="474"/>
    </row>
    <row r="750" spans="1:13" ht="12.75">
      <c r="A750" s="445"/>
      <c r="C750" s="113" t="s">
        <v>408</v>
      </c>
      <c r="D750" s="136"/>
      <c r="E750" s="146"/>
      <c r="F750" s="137"/>
      <c r="G750" s="64">
        <f>SUM(G751:G758)</f>
        <v>0</v>
      </c>
      <c r="H750" s="64">
        <f>SUM(H751:H758)</f>
        <v>0</v>
      </c>
      <c r="I750" s="64">
        <f>SUM(I751:I758)</f>
        <v>0</v>
      </c>
      <c r="J750" s="64"/>
      <c r="K750" s="64">
        <f>SUM(K751:K758)</f>
        <v>5.135708454999998</v>
      </c>
      <c r="L750" s="214">
        <f>SUM(L751:L758)</f>
        <v>0</v>
      </c>
      <c r="M750" s="214"/>
    </row>
    <row r="751" spans="1:13" ht="12.75" outlineLevel="1">
      <c r="A751" s="126">
        <v>113</v>
      </c>
      <c r="B751" s="81" t="s">
        <v>403</v>
      </c>
      <c r="C751" s="388" t="s">
        <v>404</v>
      </c>
      <c r="D751" s="127" t="s">
        <v>26</v>
      </c>
      <c r="E751" s="145">
        <f>SUM(E752:E756)</f>
        <v>13040.259499999996</v>
      </c>
      <c r="F751" s="385">
        <v>0</v>
      </c>
      <c r="G751" s="128">
        <f>E751*F751</f>
        <v>0</v>
      </c>
      <c r="H751" s="87">
        <v>0</v>
      </c>
      <c r="I751" s="87">
        <v>0</v>
      </c>
      <c r="J751" s="129">
        <v>0.00026</v>
      </c>
      <c r="K751" s="130">
        <f>E751*J751</f>
        <v>3.3904674699999986</v>
      </c>
      <c r="L751" s="215"/>
      <c r="M751" s="216">
        <f>E751*L751</f>
        <v>0</v>
      </c>
    </row>
    <row r="752" spans="1:13" ht="12.75" hidden="1" outlineLevel="2">
      <c r="A752" s="131"/>
      <c r="B752" s="132"/>
      <c r="C752" s="102" t="s">
        <v>1378</v>
      </c>
      <c r="D752" s="132"/>
      <c r="E752" s="444">
        <f>SUM(E120)</f>
        <v>8183.128999999998</v>
      </c>
      <c r="F752" s="133"/>
      <c r="G752" s="134"/>
      <c r="H752" s="134"/>
      <c r="I752" s="134"/>
      <c r="J752" s="135"/>
      <c r="K752" s="133"/>
      <c r="L752" s="212"/>
      <c r="M752" s="212"/>
    </row>
    <row r="753" spans="1:13" ht="12.75" hidden="1" outlineLevel="2">
      <c r="A753" s="131"/>
      <c r="B753" s="132"/>
      <c r="C753" s="102" t="s">
        <v>1379</v>
      </c>
      <c r="D753" s="132"/>
      <c r="E753" s="444">
        <f>SUM(E270)</f>
        <v>5595.264999999999</v>
      </c>
      <c r="F753" s="133"/>
      <c r="G753" s="134"/>
      <c r="H753" s="134"/>
      <c r="I753" s="134"/>
      <c r="J753" s="135"/>
      <c r="K753" s="133"/>
      <c r="L753" s="212"/>
      <c r="M753" s="212"/>
    </row>
    <row r="754" spans="1:13" ht="12.75" hidden="1" outlineLevel="2">
      <c r="A754" s="131"/>
      <c r="B754" s="132"/>
      <c r="C754" s="102" t="s">
        <v>1380</v>
      </c>
      <c r="D754" s="132"/>
      <c r="E754" s="444">
        <f>SUM(E717)*-1</f>
        <v>-635.0999999999999</v>
      </c>
      <c r="F754" s="133"/>
      <c r="G754" s="134"/>
      <c r="H754" s="134"/>
      <c r="I754" s="134"/>
      <c r="J754" s="135"/>
      <c r="K754" s="133"/>
      <c r="L754" s="212"/>
      <c r="M754" s="212"/>
    </row>
    <row r="755" spans="1:13" ht="12.75" hidden="1" outlineLevel="2">
      <c r="A755" s="131"/>
      <c r="B755" s="132"/>
      <c r="C755" s="102" t="s">
        <v>1382</v>
      </c>
      <c r="D755" s="132"/>
      <c r="E755" s="444">
        <f>SUM(E654)*-1</f>
        <v>-1244.3245</v>
      </c>
      <c r="F755" s="133"/>
      <c r="G755" s="134"/>
      <c r="H755" s="134"/>
      <c r="I755" s="134"/>
      <c r="J755" s="135"/>
      <c r="K755" s="133"/>
      <c r="L755" s="212"/>
      <c r="M755" s="212"/>
    </row>
    <row r="756" spans="1:13" ht="12.75" hidden="1" outlineLevel="2">
      <c r="A756" s="131"/>
      <c r="B756" s="132"/>
      <c r="C756" s="102" t="s">
        <v>1381</v>
      </c>
      <c r="D756" s="132"/>
      <c r="E756" s="444">
        <f>SUM(E554)*2</f>
        <v>1141.29</v>
      </c>
      <c r="F756" s="133"/>
      <c r="G756" s="134"/>
      <c r="H756" s="134"/>
      <c r="I756" s="134"/>
      <c r="J756" s="135"/>
      <c r="K756" s="133"/>
      <c r="L756" s="212"/>
      <c r="M756" s="212"/>
    </row>
    <row r="757" spans="1:13" ht="24" outlineLevel="1" collapsed="1">
      <c r="A757" s="82">
        <v>114</v>
      </c>
      <c r="B757" s="81" t="s">
        <v>405</v>
      </c>
      <c r="C757" s="107" t="s">
        <v>406</v>
      </c>
      <c r="D757" s="81" t="s">
        <v>26</v>
      </c>
      <c r="E757" s="145">
        <f>SUM(E751)</f>
        <v>13040.259499999996</v>
      </c>
      <c r="F757" s="108">
        <v>0</v>
      </c>
      <c r="G757" s="109">
        <f>E757*F757</f>
        <v>0</v>
      </c>
      <c r="H757" s="87">
        <v>0</v>
      </c>
      <c r="I757" s="87">
        <v>0</v>
      </c>
      <c r="J757" s="110">
        <v>3E-05</v>
      </c>
      <c r="K757" s="111">
        <f>E757*J757</f>
        <v>0.3912077849999999</v>
      </c>
      <c r="L757" s="208"/>
      <c r="M757" s="213">
        <f>E757*L757</f>
        <v>0</v>
      </c>
    </row>
    <row r="758" spans="1:13" ht="12.75" outlineLevel="1">
      <c r="A758" s="82">
        <v>115</v>
      </c>
      <c r="B758" s="81" t="s">
        <v>407</v>
      </c>
      <c r="C758" s="389" t="s">
        <v>1273</v>
      </c>
      <c r="D758" s="81" t="s">
        <v>26</v>
      </c>
      <c r="E758" s="145">
        <f>SUM(E759:E776)</f>
        <v>5207.82</v>
      </c>
      <c r="F758" s="108">
        <v>0</v>
      </c>
      <c r="G758" s="109">
        <f>E758*F758</f>
        <v>0</v>
      </c>
      <c r="H758" s="87">
        <v>0</v>
      </c>
      <c r="I758" s="87">
        <v>0</v>
      </c>
      <c r="J758" s="110">
        <v>0.00026</v>
      </c>
      <c r="K758" s="111">
        <f>E758*J758</f>
        <v>1.3540331999999997</v>
      </c>
      <c r="L758" s="208"/>
      <c r="M758" s="213">
        <f>E758*L758</f>
        <v>0</v>
      </c>
    </row>
    <row r="759" spans="1:13" ht="12.75" hidden="1" outlineLevel="2">
      <c r="A759" s="421"/>
      <c r="B759" s="422"/>
      <c r="C759" s="430" t="s">
        <v>1275</v>
      </c>
      <c r="D759" s="422"/>
      <c r="E759" s="423"/>
      <c r="F759" s="424"/>
      <c r="G759" s="425"/>
      <c r="H759" s="425"/>
      <c r="I759" s="425"/>
      <c r="J759" s="426"/>
      <c r="K759" s="427"/>
      <c r="L759" s="428"/>
      <c r="M759" s="429"/>
    </row>
    <row r="760" spans="1:13" ht="12.75" hidden="1" outlineLevel="2">
      <c r="A760" s="421"/>
      <c r="B760" s="422"/>
      <c r="C760" s="102" t="s">
        <v>349</v>
      </c>
      <c r="D760" s="101"/>
      <c r="E760" s="144"/>
      <c r="F760" s="424"/>
      <c r="G760" s="425"/>
      <c r="H760" s="425"/>
      <c r="I760" s="425"/>
      <c r="J760" s="426"/>
      <c r="K760" s="427"/>
      <c r="L760" s="428"/>
      <c r="M760" s="429"/>
    </row>
    <row r="761" spans="1:13" ht="48" customHeight="1" hidden="1" outlineLevel="2">
      <c r="A761" s="421"/>
      <c r="B761" s="422"/>
      <c r="C761" s="102" t="s">
        <v>1198</v>
      </c>
      <c r="D761" s="101"/>
      <c r="E761" s="144">
        <f>69.27+22.52+23.3+99.71+15.11+55.17+12.68+20.92+87.83+17.16+10.29+35.71+36.9+6.57+3.54+7.59+6.1+2.58+16.33+14.64+37.89+4.65+5.59+6.52+6.23+32.49+5.14+6.3+5.84+11.28+20.17+21.31+2.89+9.21+17.39+43.74+37.44+6.11+37.33+16.26+12.81+15.83+9.47+15.4+4.12+24.57+12.66+14.29+8.45+28.51+8.32+2.86+10.27+4.46+27.51+67.71+100.6+2.57</f>
        <v>1268.11</v>
      </c>
      <c r="F761" s="424"/>
      <c r="G761" s="425"/>
      <c r="H761" s="425"/>
      <c r="I761" s="425"/>
      <c r="J761" s="426"/>
      <c r="K761" s="427"/>
      <c r="L761" s="428"/>
      <c r="M761" s="429"/>
    </row>
    <row r="762" spans="1:13" ht="12.75" hidden="1" outlineLevel="2">
      <c r="A762" s="421"/>
      <c r="B762" s="422"/>
      <c r="C762" s="102" t="s">
        <v>1104</v>
      </c>
      <c r="D762" s="101"/>
      <c r="E762" s="144"/>
      <c r="F762" s="424"/>
      <c r="G762" s="425"/>
      <c r="H762" s="425"/>
      <c r="I762" s="425"/>
      <c r="J762" s="426"/>
      <c r="K762" s="427"/>
      <c r="L762" s="428"/>
      <c r="M762" s="429"/>
    </row>
    <row r="763" spans="1:13" ht="12.75" hidden="1" outlineLevel="2">
      <c r="A763" s="421"/>
      <c r="B763" s="422"/>
      <c r="C763" s="102" t="s">
        <v>1105</v>
      </c>
      <c r="D763" s="101"/>
      <c r="E763" s="144">
        <v>200</v>
      </c>
      <c r="F763" s="424"/>
      <c r="G763" s="425"/>
      <c r="H763" s="425"/>
      <c r="I763" s="425"/>
      <c r="J763" s="426"/>
      <c r="K763" s="427"/>
      <c r="L763" s="428"/>
      <c r="M763" s="429"/>
    </row>
    <row r="764" spans="1:13" ht="12.75" hidden="1" outlineLevel="2">
      <c r="A764" s="421"/>
      <c r="B764" s="422"/>
      <c r="C764" s="102" t="s">
        <v>351</v>
      </c>
      <c r="D764" s="101"/>
      <c r="E764" s="144"/>
      <c r="F764" s="424"/>
      <c r="G764" s="425"/>
      <c r="H764" s="425"/>
      <c r="I764" s="425"/>
      <c r="J764" s="426"/>
      <c r="K764" s="427"/>
      <c r="L764" s="428"/>
      <c r="M764" s="429"/>
    </row>
    <row r="765" spans="1:13" ht="12.75" hidden="1" outlineLevel="2">
      <c r="A765" s="421"/>
      <c r="B765" s="422"/>
      <c r="C765" s="102" t="s">
        <v>1105</v>
      </c>
      <c r="D765" s="101"/>
      <c r="E765" s="144">
        <v>200</v>
      </c>
      <c r="F765" s="424"/>
      <c r="G765" s="425"/>
      <c r="H765" s="425"/>
      <c r="I765" s="425"/>
      <c r="J765" s="426"/>
      <c r="K765" s="427"/>
      <c r="L765" s="428"/>
      <c r="M765" s="429"/>
    </row>
    <row r="766" spans="1:13" ht="12.75" hidden="1" outlineLevel="2">
      <c r="A766" s="421"/>
      <c r="B766" s="422"/>
      <c r="C766" s="102" t="s">
        <v>596</v>
      </c>
      <c r="D766" s="101"/>
      <c r="E766" s="144"/>
      <c r="F766" s="424"/>
      <c r="G766" s="425"/>
      <c r="H766" s="425"/>
      <c r="I766" s="425"/>
      <c r="J766" s="426"/>
      <c r="K766" s="427"/>
      <c r="L766" s="428"/>
      <c r="M766" s="429"/>
    </row>
    <row r="767" spans="1:13" ht="12.75" hidden="1" outlineLevel="2">
      <c r="A767" s="421"/>
      <c r="B767" s="422"/>
      <c r="C767" s="102" t="s">
        <v>1105</v>
      </c>
      <c r="D767" s="101"/>
      <c r="E767" s="144">
        <v>200</v>
      </c>
      <c r="F767" s="424"/>
      <c r="G767" s="425"/>
      <c r="H767" s="425"/>
      <c r="I767" s="425"/>
      <c r="J767" s="426"/>
      <c r="K767" s="427"/>
      <c r="L767" s="428"/>
      <c r="M767" s="429"/>
    </row>
    <row r="768" spans="1:13" ht="12.75" hidden="1" outlineLevel="2">
      <c r="A768" s="421"/>
      <c r="B768" s="422"/>
      <c r="C768" s="102" t="s">
        <v>597</v>
      </c>
      <c r="D768" s="101"/>
      <c r="E768" s="144"/>
      <c r="F768" s="424"/>
      <c r="G768" s="425"/>
      <c r="H768" s="425"/>
      <c r="I768" s="425"/>
      <c r="J768" s="426"/>
      <c r="K768" s="427"/>
      <c r="L768" s="428"/>
      <c r="M768" s="429"/>
    </row>
    <row r="769" spans="1:13" ht="33.75" hidden="1" outlineLevel="2">
      <c r="A769" s="421"/>
      <c r="B769" s="422"/>
      <c r="C769" s="102" t="s">
        <v>1199</v>
      </c>
      <c r="D769" s="101"/>
      <c r="E769" s="144">
        <f>69.33+40.42+31.64+36.94+5.37+38.1+26.09+25.47+20.69+29.46+25.47+20.69+29.46+25.89+19.99+21.76+20.57+20.56+9.43+12.31+19.71+19.05+17.47+1.37+36.39+11.72+20.1+22.09+19.95+16.79+27.71+28+27.49+5+36.91+26.43+112.33+109.93</f>
        <v>1088.08</v>
      </c>
      <c r="F769" s="424"/>
      <c r="G769" s="425"/>
      <c r="H769" s="425"/>
      <c r="I769" s="425"/>
      <c r="J769" s="426"/>
      <c r="K769" s="427"/>
      <c r="L769" s="428"/>
      <c r="M769" s="429"/>
    </row>
    <row r="770" spans="1:13" ht="12.75" hidden="1" outlineLevel="2">
      <c r="A770" s="421"/>
      <c r="B770" s="422"/>
      <c r="C770" s="430" t="s">
        <v>1274</v>
      </c>
      <c r="D770" s="422"/>
      <c r="E770" s="423"/>
      <c r="F770" s="424"/>
      <c r="G770" s="425"/>
      <c r="H770" s="425"/>
      <c r="I770" s="425"/>
      <c r="J770" s="426"/>
      <c r="K770" s="427"/>
      <c r="L770" s="428"/>
      <c r="M770" s="429"/>
    </row>
    <row r="771" spans="1:13" ht="12.75" hidden="1" outlineLevel="2">
      <c r="A771" s="421"/>
      <c r="B771" s="422"/>
      <c r="C771" s="102" t="s">
        <v>350</v>
      </c>
      <c r="D771" s="101"/>
      <c r="E771" s="144"/>
      <c r="F771" s="424"/>
      <c r="G771" s="425"/>
      <c r="H771" s="425"/>
      <c r="I771" s="425"/>
      <c r="J771" s="426"/>
      <c r="K771" s="427"/>
      <c r="L771" s="428"/>
      <c r="M771" s="429"/>
    </row>
    <row r="772" spans="1:13" ht="45" hidden="1" outlineLevel="2">
      <c r="A772" s="421"/>
      <c r="B772" s="422"/>
      <c r="C772" s="102" t="s">
        <v>1211</v>
      </c>
      <c r="D772" s="101"/>
      <c r="E772" s="144">
        <f>37.35+5.87+6.25+27.14+24.43+6.06+6.3+20.5+29.61+6.09+25.89+4.77+19.99+3.93+5.33+21.76+20.57+7.08+5.07+20.74+9.35+12.31+20.5+15.24+0.9+6.92+7.08+12.92+8.75+16.5+9.7+5.49+12.12+20.12+5.49+3.88+12.11+19.95+5.49+3.8+3.8+16.79+5.56+27.14+27.38+7.34+6.63+26.82+5.5+35.83+5.56+5.48+3.18+1.87+8.69+3.25+6.42</f>
        <v>710.5899999999999</v>
      </c>
      <c r="F772" s="424"/>
      <c r="G772" s="425"/>
      <c r="H772" s="425"/>
      <c r="I772" s="425"/>
      <c r="J772" s="426"/>
      <c r="K772" s="427"/>
      <c r="L772" s="428"/>
      <c r="M772" s="429"/>
    </row>
    <row r="773" spans="1:13" ht="12.75" hidden="1" outlineLevel="2">
      <c r="A773" s="421"/>
      <c r="B773" s="422"/>
      <c r="C773" s="102" t="s">
        <v>351</v>
      </c>
      <c r="D773" s="101"/>
      <c r="E773" s="144"/>
      <c r="F773" s="424"/>
      <c r="G773" s="425"/>
      <c r="H773" s="425"/>
      <c r="I773" s="425"/>
      <c r="J773" s="426"/>
      <c r="K773" s="427"/>
      <c r="L773" s="428"/>
      <c r="M773" s="429"/>
    </row>
    <row r="774" spans="1:13" ht="45" hidden="1" outlineLevel="2">
      <c r="A774" s="421"/>
      <c r="B774" s="422"/>
      <c r="C774" s="102" t="s">
        <v>1212</v>
      </c>
      <c r="D774" s="101"/>
      <c r="E774" s="144">
        <f>31.64+5.76+6.46+36.94+5.37+38.1+5.87+6.25+26.09+25.47+6.09+6.3+20.69+29.46+6.09+25.89+4.77+19.99+3.93+5.33+21.76+20.57+5.07+7.08+20.56+9.43+12.31+19.71+19.05+17.47+1.37+1.73+11.72+1.84+7.84+20.1+3.88+5.49+22.09+19.95+3.8+5.48+16.79+27.14+5.56+27.38+7.35+6.63+26.82+5.5+35.82+5.56+5.25+25.93</f>
        <v>770.52</v>
      </c>
      <c r="F774" s="424"/>
      <c r="G774" s="425"/>
      <c r="H774" s="425"/>
      <c r="I774" s="425"/>
      <c r="J774" s="426"/>
      <c r="K774" s="427"/>
      <c r="L774" s="428"/>
      <c r="M774" s="429"/>
    </row>
    <row r="775" spans="1:13" ht="12.75" hidden="1" outlineLevel="2">
      <c r="A775" s="421"/>
      <c r="B775" s="422"/>
      <c r="C775" s="102" t="s">
        <v>596</v>
      </c>
      <c r="D775" s="101"/>
      <c r="E775" s="144"/>
      <c r="F775" s="424"/>
      <c r="G775" s="425"/>
      <c r="H775" s="425"/>
      <c r="I775" s="425"/>
      <c r="J775" s="426"/>
      <c r="K775" s="427"/>
      <c r="L775" s="428"/>
      <c r="M775" s="429"/>
    </row>
    <row r="776" spans="1:13" ht="45" hidden="1" outlineLevel="2">
      <c r="A776" s="421"/>
      <c r="B776" s="422"/>
      <c r="C776" s="102" t="s">
        <v>1212</v>
      </c>
      <c r="D776" s="101"/>
      <c r="E776" s="144">
        <f>31.64+5.76+6.46+36.94+5.37+38.1+5.87+6.25+26.09+25.47+6.09+6.3+20.69+29.46+6.09+25.89+4.77+19.99+3.93+5.33+21.76+20.57+5.07+7.08+20.56+9.43+12.31+19.71+19.05+17.47+1.37+1.73+11.72+1.84+7.84+20.1+3.88+5.49+22.09+19.95+3.8+5.48+16.79+27.14+5.56+27.38+7.35+6.63+26.82+5.5+35.82+5.56+5.25+25.93</f>
        <v>770.52</v>
      </c>
      <c r="F776" s="424"/>
      <c r="G776" s="425"/>
      <c r="H776" s="425"/>
      <c r="I776" s="425"/>
      <c r="J776" s="426"/>
      <c r="K776" s="427"/>
      <c r="L776" s="428"/>
      <c r="M776" s="429"/>
    </row>
    <row r="777" spans="12:14" ht="12.75" outlineLevel="1" collapsed="1">
      <c r="L777"/>
      <c r="M777"/>
      <c r="N777"/>
    </row>
  </sheetData>
  <sheetProtection/>
  <mergeCells count="3">
    <mergeCell ref="A1:F1"/>
    <mergeCell ref="F2:G2"/>
    <mergeCell ref="J2:K2"/>
  </mergeCells>
  <printOptions horizontalCentered="1"/>
  <pageMargins left="0.3937007874015748" right="0.1968503937007874" top="0.7874015748031497" bottom="0.5905511811023623" header="0.5118110236220472" footer="0.5118110236220472"/>
  <pageSetup fitToHeight="12" horizontalDpi="600" verticalDpi="600" orientation="landscape" paperSize="9" scale="62" r:id="rId1"/>
  <ignoredErrors>
    <ignoredError sqref="B9:B15 B611:B782 B20:B571 B595:B603" numberStoredAsText="1"/>
    <ignoredError sqref="E59 J100:M108 J752:M754 E612:F612 E594:F594 E569:E570 E505:F505 J110:M119 E109 J109:M109 J120:M120 J470:M484 J270:M270 J486:M486 E485 J485:M485 J495:M495 E489 J489:M489 E521:F521 E520 E564:F564 E614:F623 E613 E648 E699:F699 E702:F702 E701 E715:F715 E703 E704:F709 E712 E751 J751:M751 J759:M776 E758 J758:M758 E630:F631 E629 E566:E568 E565 J597:M598 E595:E596 J121:M191 J192:M192 J340:M344 J362:M362 J348:M361 J345:M345 E649:F653 J271:M338 J346:M346 F700 J756:M756 J755:M755 J757:M757 E575:E587 E571 J571:M571 E572:E573 J592:M593 E588:E590 J588:M590 E611 J497:M504 J496:M496 F535:F537 E532:F534 J595:M596 J604 E599 J599 E591 J591:M591 J569:M570 J575:M587 J572:M573 J611:M611 E714 G611 G572:G573 G575:G587 G569:G570 G591 G599 G595:G596 G496 E498:G498 G588:G590 E592:G592 G571 G757 F755:G755 E756:G756 E346:G346 E271:G338 F345:G345 E348:G361 F362:G362 E340:G344 F192:G192 E121:G191 E597:G598 G758 E759:G813 G751 G489 E495:G495 G485 E486 G270 E472:G484 G120 G109 E110:G119 E752:G754 E101:G102 J778:M813 E100 G100 E104:G105 E103 G103 E107:G108 E106 G106 E470 G470 E471 G471 G486 E497 G497 E502:G502 E499 G499 E500 G500 E501 G501 E504 E503 G503 G504 E507:F507 E506 E509:F519 E508 E523:F528 E522 E530:F530 E529 E593 G593 E625:F628 E624 E633:F634 E632 E637:F637 E635 E636 E639:F647 E638 E711:F711 E710 E718:F746 E716 E717 E748:F748 E747 E750:F750 E749" formulaRange="1"/>
    <ignoredError sqref="J55:M56 J37:M53 G38:G53 G55:G56" formula="1"/>
    <ignoredError sqref="J714:M750 J594:M594 J564:M568 J698:M711 J712 L712:M712 E345 J612:M654 J505:M537 G505:G537 G612:G654 G698:G712 G564:G568 G594 G714:G750 B572:B591 B592:B594" formula="1" formulaRange="1"/>
    <ignoredError sqref="B572:B591 B592:B594" numberStoredAsText="1" twoDigitTextYear="1"/>
  </ignoredErrors>
</worksheet>
</file>

<file path=xl/worksheets/sheet3.xml><?xml version="1.0" encoding="utf-8"?>
<worksheet xmlns="http://schemas.openxmlformats.org/spreadsheetml/2006/main" xmlns:r="http://schemas.openxmlformats.org/officeDocument/2006/relationships">
  <dimension ref="A1:N55"/>
  <sheetViews>
    <sheetView showGridLines="0" view="pageBreakPreview" zoomScaleSheetLayoutView="100" zoomScalePageLayoutView="0" workbookViewId="0" topLeftCell="A1">
      <selection activeCell="A1" sqref="A1:F1"/>
    </sheetView>
  </sheetViews>
  <sheetFormatPr defaultColWidth="9.00390625" defaultRowHeight="12.75"/>
  <cols>
    <col min="1" max="1" width="4.375" style="1" customWidth="1"/>
    <col min="2" max="2" width="17.375" style="11" customWidth="1"/>
    <col min="3" max="3" width="46.875" style="0" customWidth="1"/>
    <col min="4" max="4" width="8.125" style="0" customWidth="1"/>
    <col min="5" max="5" width="12.00390625" style="38" customWidth="1"/>
    <col min="6" max="6" width="9.875" style="375" customWidth="1"/>
    <col min="7" max="9" width="15.875" style="0" customWidth="1"/>
  </cols>
  <sheetData>
    <row r="1" spans="1:9" s="1" customFormat="1" ht="27.75" customHeight="1">
      <c r="A1" s="524" t="s">
        <v>28</v>
      </c>
      <c r="B1" s="524"/>
      <c r="C1" s="524"/>
      <c r="D1" s="524"/>
      <c r="E1" s="524"/>
      <c r="F1" s="524"/>
      <c r="G1" s="48"/>
      <c r="H1" s="48"/>
      <c r="I1" s="48"/>
    </row>
    <row r="2" spans="1:9" s="1" customFormat="1" ht="14.25" customHeight="1">
      <c r="A2" s="526" t="s">
        <v>799</v>
      </c>
      <c r="B2" s="526"/>
      <c r="C2" s="490" t="s">
        <v>1724</v>
      </c>
      <c r="D2" s="396"/>
      <c r="E2" s="155"/>
      <c r="F2" s="525"/>
      <c r="G2" s="525"/>
      <c r="H2" s="48"/>
      <c r="I2" s="48"/>
    </row>
    <row r="3" spans="1:9" s="1" customFormat="1" ht="11.25" customHeight="1">
      <c r="A3" s="527" t="s">
        <v>29</v>
      </c>
      <c r="B3" s="50" t="s">
        <v>30</v>
      </c>
      <c r="C3" s="529" t="s">
        <v>31</v>
      </c>
      <c r="D3" s="531" t="s">
        <v>184</v>
      </c>
      <c r="E3" s="533" t="s">
        <v>185</v>
      </c>
      <c r="F3" s="359" t="s">
        <v>32</v>
      </c>
      <c r="G3" s="529" t="s">
        <v>1728</v>
      </c>
      <c r="H3" s="539" t="s">
        <v>1729</v>
      </c>
      <c r="I3" s="541" t="s">
        <v>1730</v>
      </c>
    </row>
    <row r="4" spans="1:9" s="1" customFormat="1" ht="11.25" customHeight="1">
      <c r="A4" s="528"/>
      <c r="B4" s="49" t="s">
        <v>33</v>
      </c>
      <c r="C4" s="530"/>
      <c r="D4" s="532"/>
      <c r="E4" s="534"/>
      <c r="F4" s="360" t="s">
        <v>34</v>
      </c>
      <c r="G4" s="530"/>
      <c r="H4" s="540"/>
      <c r="I4" s="542"/>
    </row>
    <row r="5" spans="1:9" s="1" customFormat="1" ht="11.25" customHeight="1">
      <c r="A5" s="51">
        <v>1</v>
      </c>
      <c r="B5" s="52">
        <v>2</v>
      </c>
      <c r="C5" s="52">
        <v>3</v>
      </c>
      <c r="D5" s="53">
        <v>4</v>
      </c>
      <c r="E5" s="53">
        <v>5</v>
      </c>
      <c r="F5" s="185">
        <v>6</v>
      </c>
      <c r="G5" s="52">
        <v>7</v>
      </c>
      <c r="H5" s="497">
        <v>8</v>
      </c>
      <c r="I5" s="496">
        <v>9</v>
      </c>
    </row>
    <row r="6" spans="2:6" s="1" customFormat="1" ht="9.75" customHeight="1">
      <c r="B6" s="11"/>
      <c r="E6" s="361"/>
      <c r="F6" s="362"/>
    </row>
    <row r="7" spans="1:9" s="1" customFormat="1" ht="13.5" customHeight="1">
      <c r="A7" s="355"/>
      <c r="B7" s="356" t="s">
        <v>995</v>
      </c>
      <c r="C7" s="495" t="s">
        <v>996</v>
      </c>
      <c r="D7" s="493"/>
      <c r="E7" s="493"/>
      <c r="F7" s="493"/>
      <c r="G7" s="493"/>
      <c r="H7" s="493"/>
      <c r="I7" s="494"/>
    </row>
    <row r="8" spans="2:6" s="1" customFormat="1" ht="9" customHeight="1">
      <c r="B8" s="11"/>
      <c r="E8" s="361"/>
      <c r="F8" s="362"/>
    </row>
    <row r="9" spans="2:8" s="1" customFormat="1" ht="13.5" customHeight="1">
      <c r="B9" s="31" t="s">
        <v>997</v>
      </c>
      <c r="C9" s="538" t="s">
        <v>998</v>
      </c>
      <c r="D9" s="538"/>
      <c r="E9" s="538"/>
      <c r="F9" s="538"/>
      <c r="G9" s="538"/>
      <c r="H9" s="7"/>
    </row>
    <row r="10" spans="1:14" s="1" customFormat="1" ht="13.5" customHeight="1">
      <c r="A10" s="358">
        <v>1</v>
      </c>
      <c r="B10" s="32" t="s">
        <v>999</v>
      </c>
      <c r="C10" s="39" t="s">
        <v>1023</v>
      </c>
      <c r="D10" s="3" t="s">
        <v>1022</v>
      </c>
      <c r="E10" s="363">
        <f>SUM(E22)</f>
        <v>80</v>
      </c>
      <c r="F10" s="364">
        <v>0</v>
      </c>
      <c r="G10" s="4">
        <f aca="true" t="shared" si="0" ref="G10:G47">E10*F10</f>
        <v>0</v>
      </c>
      <c r="H10" s="4">
        <v>0</v>
      </c>
      <c r="I10" s="4">
        <v>0</v>
      </c>
      <c r="J10" s="395"/>
      <c r="K10" s="395"/>
      <c r="L10" s="395"/>
      <c r="M10" s="395"/>
      <c r="N10" s="395"/>
    </row>
    <row r="11" spans="1:14" s="1" customFormat="1" ht="13.5" customHeight="1">
      <c r="A11" s="358">
        <v>2</v>
      </c>
      <c r="B11" s="32" t="s">
        <v>1000</v>
      </c>
      <c r="C11" s="39" t="s">
        <v>1024</v>
      </c>
      <c r="D11" s="3" t="s">
        <v>1022</v>
      </c>
      <c r="E11" s="363">
        <f>SUM(E17:E19)</f>
        <v>80</v>
      </c>
      <c r="F11" s="364">
        <v>0</v>
      </c>
      <c r="G11" s="4">
        <f t="shared" si="0"/>
        <v>0</v>
      </c>
      <c r="H11" s="4">
        <v>0</v>
      </c>
      <c r="I11" s="4">
        <v>0</v>
      </c>
      <c r="J11" s="395"/>
      <c r="K11" s="395"/>
      <c r="L11" s="395"/>
      <c r="M11" s="395"/>
      <c r="N11" s="395"/>
    </row>
    <row r="12" spans="1:9" s="1" customFormat="1" ht="13.5" customHeight="1">
      <c r="A12" s="358">
        <v>3</v>
      </c>
      <c r="B12" s="32" t="s">
        <v>1000</v>
      </c>
      <c r="C12" s="39" t="s">
        <v>1025</v>
      </c>
      <c r="D12" s="3" t="s">
        <v>1022</v>
      </c>
      <c r="E12" s="363">
        <f>SUM(E20:E21)</f>
        <v>15</v>
      </c>
      <c r="F12" s="364">
        <v>0</v>
      </c>
      <c r="G12" s="4">
        <f t="shared" si="0"/>
        <v>0</v>
      </c>
      <c r="H12" s="4">
        <v>0</v>
      </c>
      <c r="I12" s="4">
        <v>0</v>
      </c>
    </row>
    <row r="13" spans="1:9" s="1" customFormat="1" ht="13.5" customHeight="1">
      <c r="A13" s="358">
        <v>4</v>
      </c>
      <c r="B13" s="32" t="s">
        <v>1001</v>
      </c>
      <c r="C13" s="39" t="s">
        <v>1026</v>
      </c>
      <c r="D13" s="3" t="s">
        <v>1022</v>
      </c>
      <c r="E13" s="363">
        <f>SUM(E26:E27)</f>
        <v>123</v>
      </c>
      <c r="F13" s="364">
        <v>0</v>
      </c>
      <c r="G13" s="4">
        <f t="shared" si="0"/>
        <v>0</v>
      </c>
      <c r="H13" s="4">
        <v>0</v>
      </c>
      <c r="I13" s="4">
        <v>0</v>
      </c>
    </row>
    <row r="14" spans="1:9" s="1" customFormat="1" ht="13.5" customHeight="1">
      <c r="A14" s="358">
        <v>5</v>
      </c>
      <c r="B14" s="32" t="s">
        <v>1002</v>
      </c>
      <c r="C14" s="39" t="s">
        <v>1027</v>
      </c>
      <c r="D14" s="3" t="s">
        <v>1022</v>
      </c>
      <c r="E14" s="363">
        <f>SUM(E32)</f>
        <v>8</v>
      </c>
      <c r="F14" s="364">
        <v>0</v>
      </c>
      <c r="G14" s="4">
        <f t="shared" si="0"/>
        <v>0</v>
      </c>
      <c r="H14" s="4">
        <v>0</v>
      </c>
      <c r="I14" s="4">
        <v>0</v>
      </c>
    </row>
    <row r="15" spans="1:9" s="1" customFormat="1" ht="13.5" customHeight="1">
      <c r="A15" s="358">
        <v>7</v>
      </c>
      <c r="B15" s="32" t="s">
        <v>1003</v>
      </c>
      <c r="C15" s="39" t="s">
        <v>1028</v>
      </c>
      <c r="D15" s="3" t="s">
        <v>1022</v>
      </c>
      <c r="E15" s="363">
        <f>SUM(E31+E45+E41)</f>
        <v>198</v>
      </c>
      <c r="F15" s="364">
        <v>0</v>
      </c>
      <c r="G15" s="4">
        <f t="shared" si="0"/>
        <v>0</v>
      </c>
      <c r="H15" s="4">
        <v>0</v>
      </c>
      <c r="I15" s="4">
        <v>0</v>
      </c>
    </row>
    <row r="16" spans="1:9" s="1" customFormat="1" ht="13.5" customHeight="1">
      <c r="A16" s="358">
        <v>8</v>
      </c>
      <c r="B16" s="32" t="s">
        <v>1004</v>
      </c>
      <c r="C16" s="39" t="s">
        <v>1029</v>
      </c>
      <c r="D16" s="3" t="s">
        <v>1022</v>
      </c>
      <c r="E16" s="363">
        <f>SUM(E34+E28)</f>
        <v>131</v>
      </c>
      <c r="F16" s="364">
        <v>0</v>
      </c>
      <c r="G16" s="4">
        <f t="shared" si="0"/>
        <v>0</v>
      </c>
      <c r="H16" s="4">
        <v>0</v>
      </c>
      <c r="I16" s="4">
        <v>0</v>
      </c>
    </row>
    <row r="17" spans="1:9" s="1" customFormat="1" ht="13.5" customHeight="1">
      <c r="A17" s="358">
        <v>9</v>
      </c>
      <c r="B17" s="32" t="s">
        <v>1005</v>
      </c>
      <c r="C17" s="39" t="s">
        <v>1030</v>
      </c>
      <c r="D17" s="3" t="s">
        <v>1022</v>
      </c>
      <c r="E17" s="363">
        <v>67</v>
      </c>
      <c r="F17" s="364">
        <v>0</v>
      </c>
      <c r="G17" s="4">
        <f t="shared" si="0"/>
        <v>0</v>
      </c>
      <c r="H17" s="4">
        <v>0</v>
      </c>
      <c r="I17" s="4">
        <v>0</v>
      </c>
    </row>
    <row r="18" spans="1:9" s="1" customFormat="1" ht="13.5" customHeight="1">
      <c r="A18" s="358">
        <v>10</v>
      </c>
      <c r="B18" s="32" t="s">
        <v>1006</v>
      </c>
      <c r="C18" s="39" t="s">
        <v>1031</v>
      </c>
      <c r="D18" s="3" t="s">
        <v>1022</v>
      </c>
      <c r="E18" s="363">
        <v>11</v>
      </c>
      <c r="F18" s="364">
        <v>0</v>
      </c>
      <c r="G18" s="4">
        <f t="shared" si="0"/>
        <v>0</v>
      </c>
      <c r="H18" s="4">
        <v>0</v>
      </c>
      <c r="I18" s="4">
        <v>0</v>
      </c>
    </row>
    <row r="19" spans="1:9" s="1" customFormat="1" ht="13.5" customHeight="1">
      <c r="A19" s="358">
        <v>11</v>
      </c>
      <c r="B19" s="32" t="s">
        <v>1007</v>
      </c>
      <c r="C19" s="39" t="s">
        <v>1032</v>
      </c>
      <c r="D19" s="3" t="s">
        <v>1022</v>
      </c>
      <c r="E19" s="363">
        <v>2</v>
      </c>
      <c r="F19" s="364">
        <v>0</v>
      </c>
      <c r="G19" s="4">
        <f t="shared" si="0"/>
        <v>0</v>
      </c>
      <c r="H19" s="4">
        <v>0</v>
      </c>
      <c r="I19" s="4">
        <v>0</v>
      </c>
    </row>
    <row r="20" spans="1:9" s="1" customFormat="1" ht="13.5" customHeight="1">
      <c r="A20" s="358">
        <v>12</v>
      </c>
      <c r="B20" s="32" t="s">
        <v>1033</v>
      </c>
      <c r="C20" s="366" t="s">
        <v>1034</v>
      </c>
      <c r="D20" s="367" t="s">
        <v>1022</v>
      </c>
      <c r="E20" s="409">
        <v>14</v>
      </c>
      <c r="F20" s="364">
        <v>0</v>
      </c>
      <c r="G20" s="4">
        <f t="shared" si="0"/>
        <v>0</v>
      </c>
      <c r="H20" s="4">
        <v>0</v>
      </c>
      <c r="I20" s="4">
        <v>0</v>
      </c>
    </row>
    <row r="21" spans="1:9" s="1" customFormat="1" ht="13.5" customHeight="1">
      <c r="A21" s="358">
        <v>13</v>
      </c>
      <c r="B21" s="32" t="s">
        <v>1008</v>
      </c>
      <c r="C21" s="366" t="s">
        <v>1035</v>
      </c>
      <c r="D21" s="367" t="s">
        <v>1022</v>
      </c>
      <c r="E21" s="409">
        <v>1</v>
      </c>
      <c r="F21" s="364">
        <v>0</v>
      </c>
      <c r="G21" s="4">
        <f t="shared" si="0"/>
        <v>0</v>
      </c>
      <c r="H21" s="4">
        <v>0</v>
      </c>
      <c r="I21" s="4">
        <v>0</v>
      </c>
    </row>
    <row r="22" spans="1:9" s="1" customFormat="1" ht="13.5" customHeight="1">
      <c r="A22" s="358">
        <v>14</v>
      </c>
      <c r="B22" s="32" t="s">
        <v>1009</v>
      </c>
      <c r="C22" s="39" t="s">
        <v>1036</v>
      </c>
      <c r="D22" s="3" t="s">
        <v>1022</v>
      </c>
      <c r="E22" s="363">
        <v>80</v>
      </c>
      <c r="F22" s="364">
        <v>0</v>
      </c>
      <c r="G22" s="4">
        <f t="shared" si="0"/>
        <v>0</v>
      </c>
      <c r="H22" s="4">
        <v>0</v>
      </c>
      <c r="I22" s="4">
        <v>0</v>
      </c>
    </row>
    <row r="23" spans="1:9" s="1" customFormat="1" ht="13.5" customHeight="1">
      <c r="A23" s="358">
        <v>15</v>
      </c>
      <c r="B23" s="32" t="s">
        <v>1037</v>
      </c>
      <c r="C23" s="39" t="s">
        <v>1038</v>
      </c>
      <c r="D23" s="3" t="s">
        <v>1022</v>
      </c>
      <c r="E23" s="363">
        <f>SUM(E17:E21)</f>
        <v>95</v>
      </c>
      <c r="F23" s="364">
        <v>0</v>
      </c>
      <c r="G23" s="4">
        <f t="shared" si="0"/>
        <v>0</v>
      </c>
      <c r="H23" s="4">
        <v>0</v>
      </c>
      <c r="I23" s="4">
        <v>0</v>
      </c>
    </row>
    <row r="24" spans="1:9" s="1" customFormat="1" ht="13.5" customHeight="1">
      <c r="A24" s="358">
        <v>16</v>
      </c>
      <c r="B24" s="32" t="s">
        <v>1039</v>
      </c>
      <c r="C24" s="39" t="s">
        <v>1040</v>
      </c>
      <c r="D24" s="3" t="s">
        <v>1022</v>
      </c>
      <c r="E24" s="363">
        <f>SUM(E22)</f>
        <v>80</v>
      </c>
      <c r="F24" s="364">
        <v>0</v>
      </c>
      <c r="G24" s="4">
        <f t="shared" si="0"/>
        <v>0</v>
      </c>
      <c r="H24" s="4">
        <v>0</v>
      </c>
      <c r="I24" s="4">
        <v>0</v>
      </c>
    </row>
    <row r="25" spans="1:9" s="1" customFormat="1" ht="13.5" customHeight="1">
      <c r="A25" s="358">
        <v>17</v>
      </c>
      <c r="B25" s="32" t="s">
        <v>1041</v>
      </c>
      <c r="C25" s="39" t="s">
        <v>1010</v>
      </c>
      <c r="D25" s="3" t="s">
        <v>1022</v>
      </c>
      <c r="E25" s="363">
        <v>95</v>
      </c>
      <c r="F25" s="364">
        <v>0</v>
      </c>
      <c r="G25" s="4">
        <f t="shared" si="0"/>
        <v>0</v>
      </c>
      <c r="H25" s="4">
        <v>0</v>
      </c>
      <c r="I25" s="4">
        <v>0</v>
      </c>
    </row>
    <row r="26" spans="1:9" s="1" customFormat="1" ht="13.5" customHeight="1">
      <c r="A26" s="358">
        <v>18</v>
      </c>
      <c r="B26" s="32" t="s">
        <v>1042</v>
      </c>
      <c r="C26" s="39" t="s">
        <v>1043</v>
      </c>
      <c r="D26" s="3" t="s">
        <v>1022</v>
      </c>
      <c r="E26" s="363">
        <v>121</v>
      </c>
      <c r="F26" s="364">
        <v>0</v>
      </c>
      <c r="G26" s="4">
        <f t="shared" si="0"/>
        <v>0</v>
      </c>
      <c r="H26" s="4">
        <v>0</v>
      </c>
      <c r="I26" s="4">
        <v>0</v>
      </c>
    </row>
    <row r="27" spans="1:9" s="1" customFormat="1" ht="13.5" customHeight="1">
      <c r="A27" s="358">
        <v>19</v>
      </c>
      <c r="B27" s="32" t="s">
        <v>1044</v>
      </c>
      <c r="C27" s="39" t="s">
        <v>1045</v>
      </c>
      <c r="D27" s="3" t="s">
        <v>1022</v>
      </c>
      <c r="E27" s="363">
        <v>2</v>
      </c>
      <c r="F27" s="364">
        <v>0</v>
      </c>
      <c r="G27" s="4">
        <f t="shared" si="0"/>
        <v>0</v>
      </c>
      <c r="H27" s="4">
        <v>0</v>
      </c>
      <c r="I27" s="4">
        <v>0</v>
      </c>
    </row>
    <row r="28" spans="1:9" s="1" customFormat="1" ht="13.5" customHeight="1">
      <c r="A28" s="358">
        <v>20</v>
      </c>
      <c r="B28" s="32" t="s">
        <v>1046</v>
      </c>
      <c r="C28" s="39" t="s">
        <v>1011</v>
      </c>
      <c r="D28" s="3" t="s">
        <v>1022</v>
      </c>
      <c r="E28" s="363">
        <v>123</v>
      </c>
      <c r="F28" s="364">
        <v>0</v>
      </c>
      <c r="G28" s="4">
        <f t="shared" si="0"/>
        <v>0</v>
      </c>
      <c r="H28" s="4">
        <v>0</v>
      </c>
      <c r="I28" s="4">
        <v>0</v>
      </c>
    </row>
    <row r="29" spans="1:9" s="1" customFormat="1" ht="13.5" customHeight="1">
      <c r="A29" s="358">
        <v>21</v>
      </c>
      <c r="B29" s="32" t="s">
        <v>1047</v>
      </c>
      <c r="C29" s="39" t="s">
        <v>1012</v>
      </c>
      <c r="D29" s="3" t="s">
        <v>1022</v>
      </c>
      <c r="E29" s="363">
        <v>123</v>
      </c>
      <c r="F29" s="364">
        <v>0</v>
      </c>
      <c r="G29" s="4">
        <f t="shared" si="0"/>
        <v>0</v>
      </c>
      <c r="H29" s="4">
        <v>0</v>
      </c>
      <c r="I29" s="4">
        <v>0</v>
      </c>
    </row>
    <row r="30" spans="1:9" s="1" customFormat="1" ht="13.5" customHeight="1">
      <c r="A30" s="358">
        <v>22</v>
      </c>
      <c r="B30" s="32" t="s">
        <v>1048</v>
      </c>
      <c r="C30" s="39" t="s">
        <v>1049</v>
      </c>
      <c r="D30" s="3" t="s">
        <v>1022</v>
      </c>
      <c r="E30" s="363">
        <v>123</v>
      </c>
      <c r="F30" s="364">
        <v>0</v>
      </c>
      <c r="G30" s="4">
        <f t="shared" si="0"/>
        <v>0</v>
      </c>
      <c r="H30" s="4">
        <v>0</v>
      </c>
      <c r="I30" s="4">
        <v>0</v>
      </c>
    </row>
    <row r="31" spans="1:9" s="1" customFormat="1" ht="13.5" customHeight="1">
      <c r="A31" s="358">
        <v>23</v>
      </c>
      <c r="B31" s="32" t="s">
        <v>1050</v>
      </c>
      <c r="C31" s="39" t="s">
        <v>1051</v>
      </c>
      <c r="D31" s="3" t="s">
        <v>1022</v>
      </c>
      <c r="E31" s="363">
        <v>123</v>
      </c>
      <c r="F31" s="364">
        <v>0</v>
      </c>
      <c r="G31" s="4">
        <f t="shared" si="0"/>
        <v>0</v>
      </c>
      <c r="H31" s="4">
        <v>0</v>
      </c>
      <c r="I31" s="4">
        <v>0</v>
      </c>
    </row>
    <row r="32" spans="1:9" s="1" customFormat="1" ht="13.5" customHeight="1">
      <c r="A32" s="358">
        <v>24</v>
      </c>
      <c r="B32" s="32" t="s">
        <v>1052</v>
      </c>
      <c r="C32" s="366" t="s">
        <v>1053</v>
      </c>
      <c r="D32" s="3" t="s">
        <v>1022</v>
      </c>
      <c r="E32" s="363">
        <v>8</v>
      </c>
      <c r="F32" s="364">
        <v>0</v>
      </c>
      <c r="G32" s="4">
        <f t="shared" si="0"/>
        <v>0</v>
      </c>
      <c r="H32" s="4">
        <v>0</v>
      </c>
      <c r="I32" s="4">
        <v>0</v>
      </c>
    </row>
    <row r="33" spans="1:9" s="1" customFormat="1" ht="13.5" customHeight="1">
      <c r="A33" s="358">
        <v>25</v>
      </c>
      <c r="B33" s="32" t="s">
        <v>1054</v>
      </c>
      <c r="C33" s="366" t="s">
        <v>1013</v>
      </c>
      <c r="D33" s="3" t="s">
        <v>1022</v>
      </c>
      <c r="E33" s="363">
        <v>8</v>
      </c>
      <c r="F33" s="364">
        <v>0</v>
      </c>
      <c r="G33" s="4">
        <f t="shared" si="0"/>
        <v>0</v>
      </c>
      <c r="H33" s="4">
        <v>0</v>
      </c>
      <c r="I33" s="4">
        <v>0</v>
      </c>
    </row>
    <row r="34" spans="1:9" s="1" customFormat="1" ht="13.5" customHeight="1">
      <c r="A34" s="358">
        <v>26</v>
      </c>
      <c r="B34" s="32" t="s">
        <v>1055</v>
      </c>
      <c r="C34" s="39" t="s">
        <v>1056</v>
      </c>
      <c r="D34" s="3" t="s">
        <v>1022</v>
      </c>
      <c r="E34" s="363">
        <v>8</v>
      </c>
      <c r="F34" s="364">
        <v>0</v>
      </c>
      <c r="G34" s="4">
        <f t="shared" si="0"/>
        <v>0</v>
      </c>
      <c r="H34" s="4">
        <v>0</v>
      </c>
      <c r="I34" s="4">
        <v>0</v>
      </c>
    </row>
    <row r="35" spans="1:9" s="1" customFormat="1" ht="13.5" customHeight="1">
      <c r="A35" s="358">
        <v>27</v>
      </c>
      <c r="B35" s="32" t="s">
        <v>1057</v>
      </c>
      <c r="C35" s="39" t="s">
        <v>1014</v>
      </c>
      <c r="D35" s="3" t="s">
        <v>1022</v>
      </c>
      <c r="E35" s="363">
        <v>5</v>
      </c>
      <c r="F35" s="364">
        <v>0</v>
      </c>
      <c r="G35" s="4">
        <f t="shared" si="0"/>
        <v>0</v>
      </c>
      <c r="H35" s="4">
        <v>0</v>
      </c>
      <c r="I35" s="4">
        <v>0</v>
      </c>
    </row>
    <row r="36" spans="1:9" s="1" customFormat="1" ht="13.5" customHeight="1">
      <c r="A36" s="358">
        <v>28</v>
      </c>
      <c r="B36" s="32" t="s">
        <v>1058</v>
      </c>
      <c r="C36" s="366" t="s">
        <v>1059</v>
      </c>
      <c r="D36" s="367" t="s">
        <v>1022</v>
      </c>
      <c r="E36" s="363">
        <v>2</v>
      </c>
      <c r="F36" s="364">
        <v>0</v>
      </c>
      <c r="G36" s="4">
        <f t="shared" si="0"/>
        <v>0</v>
      </c>
      <c r="H36" s="4">
        <v>0</v>
      </c>
      <c r="I36" s="4">
        <v>0</v>
      </c>
    </row>
    <row r="37" spans="1:9" s="1" customFormat="1" ht="13.5" customHeight="1">
      <c r="A37" s="358">
        <v>29</v>
      </c>
      <c r="B37" s="32" t="s">
        <v>1060</v>
      </c>
      <c r="C37" s="39" t="s">
        <v>1061</v>
      </c>
      <c r="D37" s="3" t="s">
        <v>1022</v>
      </c>
      <c r="E37" s="363">
        <v>65</v>
      </c>
      <c r="F37" s="364">
        <v>0</v>
      </c>
      <c r="G37" s="4">
        <f t="shared" si="0"/>
        <v>0</v>
      </c>
      <c r="H37" s="4">
        <v>0</v>
      </c>
      <c r="I37" s="4">
        <v>0</v>
      </c>
    </row>
    <row r="38" spans="1:9" s="1" customFormat="1" ht="13.5" customHeight="1">
      <c r="A38" s="358">
        <v>30</v>
      </c>
      <c r="B38" s="32" t="s">
        <v>1062</v>
      </c>
      <c r="C38" s="366" t="s">
        <v>1063</v>
      </c>
      <c r="D38" s="3" t="s">
        <v>1022</v>
      </c>
      <c r="E38" s="363">
        <v>6</v>
      </c>
      <c r="F38" s="364">
        <v>0</v>
      </c>
      <c r="G38" s="4">
        <f t="shared" si="0"/>
        <v>0</v>
      </c>
      <c r="H38" s="4">
        <v>0</v>
      </c>
      <c r="I38" s="4">
        <v>0</v>
      </c>
    </row>
    <row r="39" spans="1:9" s="1" customFormat="1" ht="13.5" customHeight="1">
      <c r="A39" s="358">
        <v>31</v>
      </c>
      <c r="B39" s="32" t="s">
        <v>1064</v>
      </c>
      <c r="C39" s="366" t="s">
        <v>1065</v>
      </c>
      <c r="D39" s="3" t="s">
        <v>1022</v>
      </c>
      <c r="E39" s="363">
        <v>1</v>
      </c>
      <c r="F39" s="364">
        <v>0</v>
      </c>
      <c r="G39" s="4">
        <f t="shared" si="0"/>
        <v>0</v>
      </c>
      <c r="H39" s="4">
        <v>0</v>
      </c>
      <c r="I39" s="4">
        <v>0</v>
      </c>
    </row>
    <row r="40" spans="1:9" s="1" customFormat="1" ht="13.5" customHeight="1">
      <c r="A40" s="358">
        <v>32</v>
      </c>
      <c r="B40" s="32" t="s">
        <v>1066</v>
      </c>
      <c r="C40" s="366" t="s">
        <v>1067</v>
      </c>
      <c r="D40" s="367" t="s">
        <v>1022</v>
      </c>
      <c r="E40" s="409">
        <v>72</v>
      </c>
      <c r="F40" s="364">
        <v>0</v>
      </c>
      <c r="G40" s="4">
        <f t="shared" si="0"/>
        <v>0</v>
      </c>
      <c r="H40" s="4">
        <v>0</v>
      </c>
      <c r="I40" s="4">
        <v>0</v>
      </c>
    </row>
    <row r="41" spans="1:9" s="1" customFormat="1" ht="13.5" customHeight="1">
      <c r="A41" s="358">
        <v>33</v>
      </c>
      <c r="B41" s="32" t="s">
        <v>1068</v>
      </c>
      <c r="C41" s="366" t="s">
        <v>1069</v>
      </c>
      <c r="D41" s="367" t="s">
        <v>1022</v>
      </c>
      <c r="E41" s="409">
        <v>72</v>
      </c>
      <c r="F41" s="364">
        <v>0</v>
      </c>
      <c r="G41" s="4">
        <f t="shared" si="0"/>
        <v>0</v>
      </c>
      <c r="H41" s="4">
        <v>0</v>
      </c>
      <c r="I41" s="4">
        <v>0</v>
      </c>
    </row>
    <row r="42" spans="1:9" s="1" customFormat="1" ht="13.5" customHeight="1">
      <c r="A42" s="358">
        <v>35</v>
      </c>
      <c r="B42" s="32" t="s">
        <v>1070</v>
      </c>
      <c r="C42" s="366" t="s">
        <v>1071</v>
      </c>
      <c r="D42" s="367" t="s">
        <v>1022</v>
      </c>
      <c r="E42" s="409">
        <v>71</v>
      </c>
      <c r="F42" s="364">
        <v>0</v>
      </c>
      <c r="G42" s="4">
        <f t="shared" si="0"/>
        <v>0</v>
      </c>
      <c r="H42" s="4">
        <v>0</v>
      </c>
      <c r="I42" s="4">
        <v>0</v>
      </c>
    </row>
    <row r="43" spans="1:9" s="1" customFormat="1" ht="13.5" customHeight="1">
      <c r="A43" s="358">
        <v>36</v>
      </c>
      <c r="B43" s="32" t="s">
        <v>1072</v>
      </c>
      <c r="C43" s="366" t="s">
        <v>1073</v>
      </c>
      <c r="D43" s="3" t="s">
        <v>1022</v>
      </c>
      <c r="E43" s="363">
        <v>3</v>
      </c>
      <c r="F43" s="364">
        <v>0</v>
      </c>
      <c r="G43" s="4">
        <f t="shared" si="0"/>
        <v>0</v>
      </c>
      <c r="H43" s="4">
        <v>0</v>
      </c>
      <c r="I43" s="4">
        <v>0</v>
      </c>
    </row>
    <row r="44" spans="1:9" s="1" customFormat="1" ht="13.5" customHeight="1">
      <c r="A44" s="358">
        <v>37</v>
      </c>
      <c r="B44" s="32" t="s">
        <v>1074</v>
      </c>
      <c r="C44" s="366" t="s">
        <v>1075</v>
      </c>
      <c r="D44" s="367" t="s">
        <v>1022</v>
      </c>
      <c r="E44" s="363">
        <v>3</v>
      </c>
      <c r="F44" s="364">
        <v>0</v>
      </c>
      <c r="G44" s="4">
        <f t="shared" si="0"/>
        <v>0</v>
      </c>
      <c r="H44" s="4">
        <v>0</v>
      </c>
      <c r="I44" s="4">
        <v>0</v>
      </c>
    </row>
    <row r="45" spans="1:9" s="1" customFormat="1" ht="13.5" customHeight="1">
      <c r="A45" s="358">
        <v>38</v>
      </c>
      <c r="B45" s="32" t="s">
        <v>1076</v>
      </c>
      <c r="C45" s="366" t="s">
        <v>1077</v>
      </c>
      <c r="D45" s="367" t="s">
        <v>1022</v>
      </c>
      <c r="E45" s="409">
        <v>3</v>
      </c>
      <c r="F45" s="364">
        <v>0</v>
      </c>
      <c r="G45" s="4">
        <f t="shared" si="0"/>
        <v>0</v>
      </c>
      <c r="H45" s="4">
        <v>0</v>
      </c>
      <c r="I45" s="4">
        <v>0</v>
      </c>
    </row>
    <row r="46" spans="1:9" s="1" customFormat="1" ht="13.5" customHeight="1">
      <c r="A46" s="358">
        <v>39</v>
      </c>
      <c r="B46" s="32" t="s">
        <v>1015</v>
      </c>
      <c r="C46" s="39" t="s">
        <v>1016</v>
      </c>
      <c r="D46" s="3" t="s">
        <v>23</v>
      </c>
      <c r="E46" s="410" t="s">
        <v>1017</v>
      </c>
      <c r="F46" s="364">
        <v>0</v>
      </c>
      <c r="G46" s="4">
        <f t="shared" si="0"/>
        <v>0</v>
      </c>
      <c r="H46" s="4">
        <v>0</v>
      </c>
      <c r="I46" s="4">
        <v>0</v>
      </c>
    </row>
    <row r="47" spans="1:9" s="1" customFormat="1" ht="13.5" customHeight="1">
      <c r="A47" s="358">
        <v>40</v>
      </c>
      <c r="B47" s="32" t="s">
        <v>1018</v>
      </c>
      <c r="C47" s="39" t="s">
        <v>1019</v>
      </c>
      <c r="D47" s="3" t="s">
        <v>23</v>
      </c>
      <c r="E47" s="410" t="s">
        <v>1020</v>
      </c>
      <c r="F47" s="364">
        <v>0</v>
      </c>
      <c r="G47" s="4">
        <f t="shared" si="0"/>
        <v>0</v>
      </c>
      <c r="H47" s="4">
        <v>0</v>
      </c>
      <c r="I47" s="4">
        <v>0</v>
      </c>
    </row>
    <row r="48" spans="2:9" s="1" customFormat="1" ht="13.5" customHeight="1">
      <c r="B48" s="33" t="s">
        <v>997</v>
      </c>
      <c r="C48" s="536" t="s">
        <v>998</v>
      </c>
      <c r="D48" s="536"/>
      <c r="E48" s="536"/>
      <c r="F48" s="365"/>
      <c r="G48" s="357">
        <f>SUM(G10:G47)</f>
        <v>0</v>
      </c>
      <c r="H48" s="357">
        <f>SUM(H10:H47)</f>
        <v>0</v>
      </c>
      <c r="I48" s="357">
        <f>SUM(I10:I47)</f>
        <v>0</v>
      </c>
    </row>
    <row r="49" spans="2:6" s="1" customFormat="1" ht="6" customHeight="1">
      <c r="B49" s="11"/>
      <c r="E49" s="361"/>
      <c r="F49" s="362"/>
    </row>
    <row r="50" spans="2:6" s="1" customFormat="1" ht="6.75" customHeight="1">
      <c r="B50" s="11"/>
      <c r="E50" s="361"/>
      <c r="F50" s="362"/>
    </row>
    <row r="51" spans="1:9" s="1" customFormat="1" ht="16.5" customHeight="1">
      <c r="A51" s="368"/>
      <c r="B51" s="369"/>
      <c r="C51" s="370" t="s">
        <v>1021</v>
      </c>
      <c r="D51" s="537"/>
      <c r="E51" s="537"/>
      <c r="F51" s="371"/>
      <c r="G51" s="372">
        <f>SUM(+G48)</f>
        <v>0</v>
      </c>
      <c r="H51" s="372">
        <f>SUM(+H48)</f>
        <v>0</v>
      </c>
      <c r="I51" s="372">
        <f>SUM(+I48)</f>
        <v>0</v>
      </c>
    </row>
    <row r="52" spans="2:6" s="1" customFormat="1" ht="11.25" customHeight="1">
      <c r="B52" s="11"/>
      <c r="E52" s="361"/>
      <c r="F52" s="362"/>
    </row>
    <row r="53" spans="2:9" ht="12.75">
      <c r="B53" s="30"/>
      <c r="C53" s="2"/>
      <c r="D53" s="2"/>
      <c r="E53" s="373"/>
      <c r="F53" s="374"/>
      <c r="G53" s="6"/>
      <c r="H53" s="6"/>
      <c r="I53" s="6"/>
    </row>
    <row r="54" spans="3:9" ht="12.75">
      <c r="C54" s="1"/>
      <c r="D54" s="1"/>
      <c r="E54" s="361"/>
      <c r="F54" s="362"/>
      <c r="G54" s="1"/>
      <c r="H54" s="1"/>
      <c r="I54" s="1"/>
    </row>
    <row r="55" spans="1:9" ht="12.75">
      <c r="A55" s="535"/>
      <c r="B55" s="535"/>
      <c r="C55" s="1"/>
      <c r="D55" s="1"/>
      <c r="E55" s="361"/>
      <c r="F55" s="362"/>
      <c r="G55" s="1"/>
      <c r="H55" s="1"/>
      <c r="I55" s="1"/>
    </row>
  </sheetData>
  <sheetProtection/>
  <mergeCells count="14">
    <mergeCell ref="A55:B55"/>
    <mergeCell ref="C48:E48"/>
    <mergeCell ref="D51:E51"/>
    <mergeCell ref="C9:G9"/>
    <mergeCell ref="H3:H4"/>
    <mergeCell ref="I3:I4"/>
    <mergeCell ref="A1:F1"/>
    <mergeCell ref="A2:B2"/>
    <mergeCell ref="F2:G2"/>
    <mergeCell ref="A3:A4"/>
    <mergeCell ref="C3:C4"/>
    <mergeCell ref="D3:D4"/>
    <mergeCell ref="E3:E4"/>
    <mergeCell ref="G3:G4"/>
  </mergeCells>
  <printOptions/>
  <pageMargins left="0.787401575" right="0.787401575" top="0.984251969" bottom="0.984251969" header="0.4921259845" footer="0.4921259845"/>
  <pageSetup horizontalDpi="600" verticalDpi="600" orientation="portrait" paperSize="9" scale="56" r:id="rId1"/>
  <ignoredErrors>
    <ignoredError sqref="E11:E23" formulaRange="1"/>
    <ignoredError sqref="E46:E4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K4919"/>
  <sheetViews>
    <sheetView view="pageBreakPreview" zoomScaleSheetLayoutView="100" zoomScalePageLayoutView="0" workbookViewId="0" topLeftCell="A1">
      <selection activeCell="C2" sqref="C2:I2"/>
    </sheetView>
  </sheetViews>
  <sheetFormatPr defaultColWidth="9.00390625" defaultRowHeight="12.75" outlineLevelRow="1"/>
  <cols>
    <col min="1" max="1" width="3.375" style="11" customWidth="1"/>
    <col min="2" max="2" width="12.625" style="317" customWidth="1"/>
    <col min="3" max="3" width="53.75390625" style="317" customWidth="1"/>
    <col min="4" max="4" width="4.875" style="0" customWidth="1"/>
    <col min="5" max="5" width="10.625" style="0" customWidth="1"/>
    <col min="6" max="6" width="9.875" style="0" customWidth="1"/>
    <col min="7" max="9" width="19.25390625" style="0" customWidth="1"/>
    <col min="12" max="18" width="9.125" style="0" customWidth="1"/>
  </cols>
  <sheetData>
    <row r="1" spans="1:9" ht="15.75" customHeight="1">
      <c r="A1" s="543" t="s">
        <v>797</v>
      </c>
      <c r="B1" s="543"/>
      <c r="C1" s="543"/>
      <c r="D1" s="543"/>
      <c r="E1" s="543"/>
      <c r="F1" s="543"/>
      <c r="G1" s="543"/>
      <c r="H1" s="543"/>
      <c r="I1" s="543"/>
    </row>
    <row r="2" spans="1:9" ht="24.75" customHeight="1">
      <c r="A2" s="446" t="s">
        <v>798</v>
      </c>
      <c r="B2" s="316" t="s">
        <v>21</v>
      </c>
      <c r="C2" s="544" t="s">
        <v>799</v>
      </c>
      <c r="D2" s="545"/>
      <c r="E2" s="545"/>
      <c r="F2" s="545"/>
      <c r="G2" s="545"/>
      <c r="H2" s="545"/>
      <c r="I2" s="546"/>
    </row>
    <row r="3" spans="1:9" ht="24.75" customHeight="1" thickBot="1">
      <c r="A3" s="446" t="s">
        <v>800</v>
      </c>
      <c r="B3" s="316" t="s">
        <v>7</v>
      </c>
      <c r="C3" s="547" t="s">
        <v>1725</v>
      </c>
      <c r="D3" s="548"/>
      <c r="E3" s="548"/>
      <c r="F3" s="548"/>
      <c r="G3" s="548"/>
      <c r="H3" s="548"/>
      <c r="I3" s="548"/>
    </row>
    <row r="4" spans="1:9" ht="24.75" customHeight="1" thickBot="1">
      <c r="A4" s="447" t="s">
        <v>801</v>
      </c>
      <c r="B4" s="318" t="s">
        <v>7</v>
      </c>
      <c r="C4" s="318" t="s">
        <v>24</v>
      </c>
      <c r="D4" s="349"/>
      <c r="E4" s="349"/>
      <c r="F4" s="349"/>
      <c r="G4" s="350">
        <f>G8+G89</f>
        <v>0</v>
      </c>
      <c r="H4" s="350">
        <f>H8+H89</f>
        <v>0</v>
      </c>
      <c r="I4" s="350">
        <f>I8+I89</f>
        <v>0</v>
      </c>
    </row>
    <row r="5" ht="12.75">
      <c r="D5" s="11"/>
    </row>
    <row r="6" spans="1:9" ht="12.75">
      <c r="A6" s="321" t="s">
        <v>29</v>
      </c>
      <c r="B6" s="320" t="s">
        <v>173</v>
      </c>
      <c r="C6" s="320" t="s">
        <v>174</v>
      </c>
      <c r="D6" s="321" t="s">
        <v>175</v>
      </c>
      <c r="E6" s="319" t="s">
        <v>176</v>
      </c>
      <c r="F6" s="322" t="s">
        <v>177</v>
      </c>
      <c r="G6" s="319" t="s">
        <v>1728</v>
      </c>
      <c r="H6" s="319" t="s">
        <v>1729</v>
      </c>
      <c r="I6" s="319" t="s">
        <v>1730</v>
      </c>
    </row>
    <row r="7" spans="1:9" ht="12.75" hidden="1">
      <c r="A7" s="325"/>
      <c r="B7" s="324"/>
      <c r="C7" s="324"/>
      <c r="D7" s="325"/>
      <c r="E7" s="326"/>
      <c r="F7" s="327"/>
      <c r="G7" s="327"/>
      <c r="H7" s="327"/>
      <c r="I7" s="327"/>
    </row>
    <row r="8" spans="1:9" ht="12.75">
      <c r="A8" s="448" t="s">
        <v>414</v>
      </c>
      <c r="B8" s="328" t="s">
        <v>27</v>
      </c>
      <c r="C8" s="329" t="s">
        <v>803</v>
      </c>
      <c r="D8" s="330"/>
      <c r="E8" s="331"/>
      <c r="F8" s="332"/>
      <c r="G8" s="333">
        <f>SUM(G9:G88)</f>
        <v>0</v>
      </c>
      <c r="H8" s="333">
        <f>SUM(H9:H88)</f>
        <v>0</v>
      </c>
      <c r="I8" s="333">
        <f>SUM(I9:I88)</f>
        <v>0</v>
      </c>
    </row>
    <row r="9" spans="1:37" ht="12.75" outlineLevel="1">
      <c r="A9" s="449">
        <v>1</v>
      </c>
      <c r="B9" s="334" t="s">
        <v>804</v>
      </c>
      <c r="C9" s="335" t="s">
        <v>805</v>
      </c>
      <c r="D9" s="336" t="s">
        <v>806</v>
      </c>
      <c r="E9" s="337">
        <v>10</v>
      </c>
      <c r="F9" s="338">
        <v>0</v>
      </c>
      <c r="G9" s="339">
        <f aca="true" t="shared" si="0" ref="G9:G40">SUM(E9*F9)</f>
        <v>0</v>
      </c>
      <c r="H9" s="339">
        <v>0</v>
      </c>
      <c r="I9" s="339">
        <v>0</v>
      </c>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row>
    <row r="10" spans="1:37" ht="12.75" outlineLevel="1">
      <c r="A10" s="449">
        <v>2</v>
      </c>
      <c r="B10" s="334" t="s">
        <v>807</v>
      </c>
      <c r="C10" s="335" t="s">
        <v>808</v>
      </c>
      <c r="D10" s="336" t="s">
        <v>178</v>
      </c>
      <c r="E10" s="337">
        <v>65</v>
      </c>
      <c r="F10" s="338">
        <v>0</v>
      </c>
      <c r="G10" s="339">
        <f t="shared" si="0"/>
        <v>0</v>
      </c>
      <c r="H10" s="339">
        <v>0</v>
      </c>
      <c r="I10" s="339">
        <v>0</v>
      </c>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row>
    <row r="11" spans="1:37" ht="12.75" outlineLevel="1">
      <c r="A11" s="449">
        <v>3</v>
      </c>
      <c r="B11" s="334" t="s">
        <v>809</v>
      </c>
      <c r="C11" s="335" t="s">
        <v>810</v>
      </c>
      <c r="D11" s="336" t="s">
        <v>178</v>
      </c>
      <c r="E11" s="337">
        <v>373</v>
      </c>
      <c r="F11" s="338">
        <v>0</v>
      </c>
      <c r="G11" s="339">
        <f t="shared" si="0"/>
        <v>0</v>
      </c>
      <c r="H11" s="339">
        <v>0</v>
      </c>
      <c r="I11" s="339">
        <v>0</v>
      </c>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row>
    <row r="12" spans="1:37" ht="12.75" outlineLevel="1">
      <c r="A12" s="449">
        <v>4</v>
      </c>
      <c r="B12" s="334" t="s">
        <v>811</v>
      </c>
      <c r="C12" s="335" t="s">
        <v>812</v>
      </c>
      <c r="D12" s="336" t="s">
        <v>26</v>
      </c>
      <c r="E12" s="337">
        <v>307</v>
      </c>
      <c r="F12" s="338">
        <v>0</v>
      </c>
      <c r="G12" s="339">
        <f t="shared" si="0"/>
        <v>0</v>
      </c>
      <c r="H12" s="339">
        <v>0</v>
      </c>
      <c r="I12" s="339">
        <v>0</v>
      </c>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row>
    <row r="13" spans="1:37" ht="12.75" outlineLevel="1">
      <c r="A13" s="449">
        <v>5</v>
      </c>
      <c r="B13" s="334" t="s">
        <v>813</v>
      </c>
      <c r="C13" s="335" t="s">
        <v>814</v>
      </c>
      <c r="D13" s="336" t="s">
        <v>178</v>
      </c>
      <c r="E13" s="337">
        <v>438</v>
      </c>
      <c r="F13" s="338">
        <v>0</v>
      </c>
      <c r="G13" s="339">
        <f t="shared" si="0"/>
        <v>0</v>
      </c>
      <c r="H13" s="339">
        <v>0</v>
      </c>
      <c r="I13" s="339">
        <v>0</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row>
    <row r="14" spans="1:37" ht="12.75" outlineLevel="1">
      <c r="A14" s="449">
        <v>6</v>
      </c>
      <c r="B14" s="334" t="s">
        <v>815</v>
      </c>
      <c r="C14" s="335" t="s">
        <v>816</v>
      </c>
      <c r="D14" s="336" t="s">
        <v>178</v>
      </c>
      <c r="E14" s="337">
        <v>438</v>
      </c>
      <c r="F14" s="338">
        <v>0</v>
      </c>
      <c r="G14" s="339">
        <f t="shared" si="0"/>
        <v>0</v>
      </c>
      <c r="H14" s="339">
        <v>0</v>
      </c>
      <c r="I14" s="339">
        <v>0</v>
      </c>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row>
    <row r="15" spans="1:37" ht="12.75" outlineLevel="1">
      <c r="A15" s="449">
        <v>7</v>
      </c>
      <c r="B15" s="334" t="s">
        <v>817</v>
      </c>
      <c r="C15" s="335" t="s">
        <v>818</v>
      </c>
      <c r="D15" s="336" t="s">
        <v>178</v>
      </c>
      <c r="E15" s="337">
        <v>1</v>
      </c>
      <c r="F15" s="338">
        <v>0</v>
      </c>
      <c r="G15" s="339">
        <f t="shared" si="0"/>
        <v>0</v>
      </c>
      <c r="H15" s="339">
        <v>0</v>
      </c>
      <c r="I15" s="339">
        <v>0</v>
      </c>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row>
    <row r="16" spans="1:37" ht="12.75" outlineLevel="1">
      <c r="A16" s="449">
        <v>8</v>
      </c>
      <c r="B16" s="334" t="s">
        <v>819</v>
      </c>
      <c r="C16" s="335" t="s">
        <v>820</v>
      </c>
      <c r="D16" s="336" t="s">
        <v>178</v>
      </c>
      <c r="E16" s="337">
        <v>1</v>
      </c>
      <c r="F16" s="338">
        <v>0</v>
      </c>
      <c r="G16" s="339">
        <f t="shared" si="0"/>
        <v>0</v>
      </c>
      <c r="H16" s="339">
        <v>0</v>
      </c>
      <c r="I16" s="339">
        <v>0</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row>
    <row r="17" spans="1:37" ht="12.75" outlineLevel="1">
      <c r="A17" s="449">
        <v>9</v>
      </c>
      <c r="B17" s="334" t="s">
        <v>821</v>
      </c>
      <c r="C17" s="335" t="s">
        <v>822</v>
      </c>
      <c r="D17" s="336" t="s">
        <v>178</v>
      </c>
      <c r="E17" s="337">
        <v>1</v>
      </c>
      <c r="F17" s="338">
        <v>0</v>
      </c>
      <c r="G17" s="339">
        <f t="shared" si="0"/>
        <v>0</v>
      </c>
      <c r="H17" s="339">
        <v>0</v>
      </c>
      <c r="I17" s="339">
        <v>0</v>
      </c>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row>
    <row r="18" spans="1:37" ht="12.75" outlineLevel="1">
      <c r="A18" s="449">
        <v>10</v>
      </c>
      <c r="B18" s="334" t="s">
        <v>823</v>
      </c>
      <c r="C18" s="335" t="s">
        <v>824</v>
      </c>
      <c r="D18" s="336" t="s">
        <v>178</v>
      </c>
      <c r="E18" s="337">
        <v>4</v>
      </c>
      <c r="F18" s="338">
        <v>0</v>
      </c>
      <c r="G18" s="339">
        <f t="shared" si="0"/>
        <v>0</v>
      </c>
      <c r="H18" s="339">
        <v>0</v>
      </c>
      <c r="I18" s="339">
        <v>0</v>
      </c>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row>
    <row r="19" spans="1:37" ht="12.75" outlineLevel="1">
      <c r="A19" s="449">
        <v>11</v>
      </c>
      <c r="B19" s="334" t="s">
        <v>825</v>
      </c>
      <c r="C19" s="335" t="s">
        <v>826</v>
      </c>
      <c r="D19" s="336" t="s">
        <v>178</v>
      </c>
      <c r="E19" s="337">
        <v>5</v>
      </c>
      <c r="F19" s="338">
        <v>0</v>
      </c>
      <c r="G19" s="339">
        <f t="shared" si="0"/>
        <v>0</v>
      </c>
      <c r="H19" s="339">
        <v>0</v>
      </c>
      <c r="I19" s="339">
        <v>0</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row>
    <row r="20" spans="1:37" ht="12.75" outlineLevel="1">
      <c r="A20" s="449">
        <v>12</v>
      </c>
      <c r="B20" s="334" t="s">
        <v>827</v>
      </c>
      <c r="C20" s="335" t="s">
        <v>828</v>
      </c>
      <c r="D20" s="336" t="s">
        <v>178</v>
      </c>
      <c r="E20" s="337">
        <v>1</v>
      </c>
      <c r="F20" s="338">
        <v>0</v>
      </c>
      <c r="G20" s="339">
        <f t="shared" si="0"/>
        <v>0</v>
      </c>
      <c r="H20" s="339">
        <v>0</v>
      </c>
      <c r="I20" s="339">
        <v>0</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row>
    <row r="21" spans="1:37" ht="12.75" outlineLevel="1">
      <c r="A21" s="449">
        <v>13</v>
      </c>
      <c r="B21" s="334" t="s">
        <v>829</v>
      </c>
      <c r="C21" s="335" t="s">
        <v>830</v>
      </c>
      <c r="D21" s="336" t="s">
        <v>178</v>
      </c>
      <c r="E21" s="337">
        <v>18</v>
      </c>
      <c r="F21" s="338">
        <v>0</v>
      </c>
      <c r="G21" s="339">
        <f t="shared" si="0"/>
        <v>0</v>
      </c>
      <c r="H21" s="339">
        <v>0</v>
      </c>
      <c r="I21" s="339">
        <v>0</v>
      </c>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row>
    <row r="22" spans="1:37" ht="12.75" outlineLevel="1">
      <c r="A22" s="449">
        <v>14</v>
      </c>
      <c r="B22" s="334" t="s">
        <v>831</v>
      </c>
      <c r="C22" s="335" t="s">
        <v>832</v>
      </c>
      <c r="D22" s="336" t="s">
        <v>178</v>
      </c>
      <c r="E22" s="337">
        <v>24</v>
      </c>
      <c r="F22" s="338">
        <v>0</v>
      </c>
      <c r="G22" s="339">
        <f t="shared" si="0"/>
        <v>0</v>
      </c>
      <c r="H22" s="339">
        <v>0</v>
      </c>
      <c r="I22" s="339">
        <v>0</v>
      </c>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row>
    <row r="23" spans="1:37" ht="12.75" outlineLevel="1">
      <c r="A23" s="449">
        <v>15</v>
      </c>
      <c r="B23" s="334" t="s">
        <v>833</v>
      </c>
      <c r="C23" s="335" t="s">
        <v>834</v>
      </c>
      <c r="D23" s="336" t="s">
        <v>178</v>
      </c>
      <c r="E23" s="337">
        <v>26</v>
      </c>
      <c r="F23" s="338">
        <v>0</v>
      </c>
      <c r="G23" s="339">
        <f t="shared" si="0"/>
        <v>0</v>
      </c>
      <c r="H23" s="339">
        <v>0</v>
      </c>
      <c r="I23" s="339">
        <v>0</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row>
    <row r="24" spans="1:37" ht="12.75" outlineLevel="1">
      <c r="A24" s="449">
        <v>16</v>
      </c>
      <c r="B24" s="334" t="s">
        <v>835</v>
      </c>
      <c r="C24" s="335" t="s">
        <v>836</v>
      </c>
      <c r="D24" s="336" t="s">
        <v>178</v>
      </c>
      <c r="E24" s="337">
        <v>3</v>
      </c>
      <c r="F24" s="338">
        <v>0</v>
      </c>
      <c r="G24" s="339">
        <f t="shared" si="0"/>
        <v>0</v>
      </c>
      <c r="H24" s="339">
        <v>0</v>
      </c>
      <c r="I24" s="339">
        <v>0</v>
      </c>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row>
    <row r="25" spans="1:37" ht="12.75" outlineLevel="1">
      <c r="A25" s="449">
        <v>17</v>
      </c>
      <c r="B25" s="334" t="s">
        <v>837</v>
      </c>
      <c r="C25" s="335" t="s">
        <v>838</v>
      </c>
      <c r="D25" s="336" t="s">
        <v>178</v>
      </c>
      <c r="E25" s="337">
        <v>45</v>
      </c>
      <c r="F25" s="338">
        <v>0</v>
      </c>
      <c r="G25" s="339">
        <f t="shared" si="0"/>
        <v>0</v>
      </c>
      <c r="H25" s="339">
        <v>0</v>
      </c>
      <c r="I25" s="339">
        <v>0</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row>
    <row r="26" spans="1:37" ht="12.75" outlineLevel="1">
      <c r="A26" s="449">
        <v>18</v>
      </c>
      <c r="B26" s="334" t="s">
        <v>839</v>
      </c>
      <c r="C26" s="335" t="s">
        <v>840</v>
      </c>
      <c r="D26" s="336" t="s">
        <v>178</v>
      </c>
      <c r="E26" s="337">
        <v>7</v>
      </c>
      <c r="F26" s="338">
        <v>0</v>
      </c>
      <c r="G26" s="339">
        <f t="shared" si="0"/>
        <v>0</v>
      </c>
      <c r="H26" s="339">
        <v>0</v>
      </c>
      <c r="I26" s="339">
        <v>0</v>
      </c>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row>
    <row r="27" spans="1:37" ht="12.75" outlineLevel="1">
      <c r="A27" s="449">
        <v>19</v>
      </c>
      <c r="B27" s="334" t="s">
        <v>841</v>
      </c>
      <c r="C27" s="335" t="s">
        <v>842</v>
      </c>
      <c r="D27" s="336" t="s">
        <v>178</v>
      </c>
      <c r="E27" s="337">
        <v>32</v>
      </c>
      <c r="F27" s="338">
        <v>0</v>
      </c>
      <c r="G27" s="339">
        <f t="shared" si="0"/>
        <v>0</v>
      </c>
      <c r="H27" s="339">
        <v>0</v>
      </c>
      <c r="I27" s="339">
        <v>0</v>
      </c>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row>
    <row r="28" spans="1:37" ht="12.75" outlineLevel="1">
      <c r="A28" s="449">
        <v>20</v>
      </c>
      <c r="B28" s="334" t="s">
        <v>843</v>
      </c>
      <c r="C28" s="335" t="s">
        <v>844</v>
      </c>
      <c r="D28" s="336" t="s">
        <v>178</v>
      </c>
      <c r="E28" s="337">
        <v>8</v>
      </c>
      <c r="F28" s="338">
        <v>0</v>
      </c>
      <c r="G28" s="339">
        <f t="shared" si="0"/>
        <v>0</v>
      </c>
      <c r="H28" s="339">
        <v>0</v>
      </c>
      <c r="I28" s="339">
        <v>0</v>
      </c>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row>
    <row r="29" spans="1:37" ht="12.75" outlineLevel="1">
      <c r="A29" s="449">
        <v>21</v>
      </c>
      <c r="B29" s="334" t="s">
        <v>845</v>
      </c>
      <c r="C29" s="335" t="s">
        <v>846</v>
      </c>
      <c r="D29" s="336" t="s">
        <v>178</v>
      </c>
      <c r="E29" s="337">
        <v>6</v>
      </c>
      <c r="F29" s="338">
        <v>0</v>
      </c>
      <c r="G29" s="339">
        <f t="shared" si="0"/>
        <v>0</v>
      </c>
      <c r="H29" s="339">
        <v>0</v>
      </c>
      <c r="I29" s="339">
        <v>0</v>
      </c>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row>
    <row r="30" spans="1:37" ht="12.75" outlineLevel="1">
      <c r="A30" s="449">
        <v>22</v>
      </c>
      <c r="B30" s="334" t="s">
        <v>847</v>
      </c>
      <c r="C30" s="335" t="s">
        <v>848</v>
      </c>
      <c r="D30" s="336" t="s">
        <v>178</v>
      </c>
      <c r="E30" s="337">
        <v>2</v>
      </c>
      <c r="F30" s="338">
        <v>0</v>
      </c>
      <c r="G30" s="339">
        <f t="shared" si="0"/>
        <v>0</v>
      </c>
      <c r="H30" s="339">
        <v>0</v>
      </c>
      <c r="I30" s="339">
        <v>0</v>
      </c>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row>
    <row r="31" spans="1:37" ht="12.75" outlineLevel="1">
      <c r="A31" s="449">
        <v>23</v>
      </c>
      <c r="B31" s="334" t="s">
        <v>849</v>
      </c>
      <c r="C31" s="335" t="s">
        <v>850</v>
      </c>
      <c r="D31" s="336" t="s">
        <v>178</v>
      </c>
      <c r="E31" s="337">
        <v>4</v>
      </c>
      <c r="F31" s="338">
        <v>0</v>
      </c>
      <c r="G31" s="339">
        <f t="shared" si="0"/>
        <v>0</v>
      </c>
      <c r="H31" s="339">
        <v>0</v>
      </c>
      <c r="I31" s="339">
        <v>0</v>
      </c>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1:37" ht="12.75" outlineLevel="1">
      <c r="A32" s="449">
        <v>24</v>
      </c>
      <c r="B32" s="334" t="s">
        <v>851</v>
      </c>
      <c r="C32" s="335" t="s">
        <v>852</v>
      </c>
      <c r="D32" s="336" t="s">
        <v>178</v>
      </c>
      <c r="E32" s="337">
        <v>1</v>
      </c>
      <c r="F32" s="338">
        <v>0</v>
      </c>
      <c r="G32" s="339">
        <f t="shared" si="0"/>
        <v>0</v>
      </c>
      <c r="H32" s="339">
        <v>0</v>
      </c>
      <c r="I32" s="339">
        <v>0</v>
      </c>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row>
    <row r="33" spans="1:37" ht="12.75" outlineLevel="1">
      <c r="A33" s="449">
        <v>25</v>
      </c>
      <c r="B33" s="334" t="s">
        <v>853</v>
      </c>
      <c r="C33" s="335" t="s">
        <v>854</v>
      </c>
      <c r="D33" s="336" t="s">
        <v>178</v>
      </c>
      <c r="E33" s="337">
        <v>6</v>
      </c>
      <c r="F33" s="338">
        <v>0</v>
      </c>
      <c r="G33" s="339">
        <f t="shared" si="0"/>
        <v>0</v>
      </c>
      <c r="H33" s="339">
        <v>0</v>
      </c>
      <c r="I33" s="339">
        <v>0</v>
      </c>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row>
    <row r="34" spans="1:37" ht="12.75" outlineLevel="1">
      <c r="A34" s="449">
        <v>26</v>
      </c>
      <c r="B34" s="334" t="s">
        <v>855</v>
      </c>
      <c r="C34" s="335" t="s">
        <v>856</v>
      </c>
      <c r="D34" s="336" t="s">
        <v>178</v>
      </c>
      <c r="E34" s="337">
        <v>10</v>
      </c>
      <c r="F34" s="338">
        <v>0</v>
      </c>
      <c r="G34" s="339">
        <f t="shared" si="0"/>
        <v>0</v>
      </c>
      <c r="H34" s="339">
        <v>0</v>
      </c>
      <c r="I34" s="339">
        <v>0</v>
      </c>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row>
    <row r="35" spans="1:37" ht="12.75" outlineLevel="1">
      <c r="A35" s="449">
        <v>27</v>
      </c>
      <c r="B35" s="334" t="s">
        <v>857</v>
      </c>
      <c r="C35" s="335" t="s">
        <v>858</v>
      </c>
      <c r="D35" s="336" t="s">
        <v>178</v>
      </c>
      <c r="E35" s="337">
        <v>6</v>
      </c>
      <c r="F35" s="338">
        <v>0</v>
      </c>
      <c r="G35" s="339">
        <f t="shared" si="0"/>
        <v>0</v>
      </c>
      <c r="H35" s="339">
        <v>0</v>
      </c>
      <c r="I35" s="339">
        <v>0</v>
      </c>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row>
    <row r="36" spans="1:37" ht="12.75" outlineLevel="1">
      <c r="A36" s="449">
        <v>28</v>
      </c>
      <c r="B36" s="334" t="s">
        <v>859</v>
      </c>
      <c r="C36" s="335" t="s">
        <v>860</v>
      </c>
      <c r="D36" s="336" t="s">
        <v>178</v>
      </c>
      <c r="E36" s="337">
        <v>2</v>
      </c>
      <c r="F36" s="338">
        <v>0</v>
      </c>
      <c r="G36" s="339">
        <f t="shared" si="0"/>
        <v>0</v>
      </c>
      <c r="H36" s="339">
        <v>0</v>
      </c>
      <c r="I36" s="339">
        <v>0</v>
      </c>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row>
    <row r="37" spans="1:37" ht="12.75" outlineLevel="1">
      <c r="A37" s="449">
        <v>29</v>
      </c>
      <c r="B37" s="334" t="s">
        <v>861</v>
      </c>
      <c r="C37" s="335" t="s">
        <v>862</v>
      </c>
      <c r="D37" s="336" t="s">
        <v>178</v>
      </c>
      <c r="E37" s="337">
        <v>17</v>
      </c>
      <c r="F37" s="338">
        <v>0</v>
      </c>
      <c r="G37" s="339">
        <f t="shared" si="0"/>
        <v>0</v>
      </c>
      <c r="H37" s="339">
        <v>0</v>
      </c>
      <c r="I37" s="339">
        <v>0</v>
      </c>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row>
    <row r="38" spans="1:37" ht="12.75" outlineLevel="1">
      <c r="A38" s="449">
        <v>30</v>
      </c>
      <c r="B38" s="334" t="s">
        <v>863</v>
      </c>
      <c r="C38" s="335" t="s">
        <v>864</v>
      </c>
      <c r="D38" s="336" t="s">
        <v>178</v>
      </c>
      <c r="E38" s="337">
        <v>5</v>
      </c>
      <c r="F38" s="338">
        <v>0</v>
      </c>
      <c r="G38" s="339">
        <f t="shared" si="0"/>
        <v>0</v>
      </c>
      <c r="H38" s="339">
        <v>0</v>
      </c>
      <c r="I38" s="339">
        <v>0</v>
      </c>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row>
    <row r="39" spans="1:37" ht="12.75" outlineLevel="1">
      <c r="A39" s="449">
        <v>31</v>
      </c>
      <c r="B39" s="334" t="s">
        <v>865</v>
      </c>
      <c r="C39" s="335" t="s">
        <v>866</v>
      </c>
      <c r="D39" s="336" t="s">
        <v>178</v>
      </c>
      <c r="E39" s="337">
        <v>1</v>
      </c>
      <c r="F39" s="338">
        <v>0</v>
      </c>
      <c r="G39" s="339">
        <f t="shared" si="0"/>
        <v>0</v>
      </c>
      <c r="H39" s="339">
        <v>0</v>
      </c>
      <c r="I39" s="339">
        <v>0</v>
      </c>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row>
    <row r="40" spans="1:37" ht="12.75" outlineLevel="1">
      <c r="A40" s="449">
        <v>32</v>
      </c>
      <c r="B40" s="334" t="s">
        <v>867</v>
      </c>
      <c r="C40" s="335" t="s">
        <v>868</v>
      </c>
      <c r="D40" s="336" t="s">
        <v>178</v>
      </c>
      <c r="E40" s="337">
        <v>5</v>
      </c>
      <c r="F40" s="338">
        <v>0</v>
      </c>
      <c r="G40" s="339">
        <f t="shared" si="0"/>
        <v>0</v>
      </c>
      <c r="H40" s="339">
        <v>0</v>
      </c>
      <c r="I40" s="339">
        <v>0</v>
      </c>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row>
    <row r="41" spans="1:37" ht="12.75" outlineLevel="1">
      <c r="A41" s="449">
        <v>33</v>
      </c>
      <c r="B41" s="334" t="s">
        <v>869</v>
      </c>
      <c r="C41" s="335" t="s">
        <v>870</v>
      </c>
      <c r="D41" s="336" t="s">
        <v>178</v>
      </c>
      <c r="E41" s="337">
        <v>3</v>
      </c>
      <c r="F41" s="338">
        <v>0</v>
      </c>
      <c r="G41" s="339">
        <f aca="true" t="shared" si="1" ref="G41:G72">SUM(E41*F41)</f>
        <v>0</v>
      </c>
      <c r="H41" s="339">
        <v>0</v>
      </c>
      <c r="I41" s="339">
        <v>0</v>
      </c>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row>
    <row r="42" spans="1:37" ht="12.75" outlineLevel="1">
      <c r="A42" s="449">
        <v>34</v>
      </c>
      <c r="B42" s="334" t="s">
        <v>871</v>
      </c>
      <c r="C42" s="335" t="s">
        <v>872</v>
      </c>
      <c r="D42" s="336" t="s">
        <v>178</v>
      </c>
      <c r="E42" s="337">
        <v>1</v>
      </c>
      <c r="F42" s="338">
        <v>0</v>
      </c>
      <c r="G42" s="339">
        <f t="shared" si="1"/>
        <v>0</v>
      </c>
      <c r="H42" s="339">
        <v>0</v>
      </c>
      <c r="I42" s="339">
        <v>0</v>
      </c>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row>
    <row r="43" spans="1:37" ht="12.75" outlineLevel="1">
      <c r="A43" s="449">
        <v>35</v>
      </c>
      <c r="B43" s="334" t="s">
        <v>873</v>
      </c>
      <c r="C43" s="335" t="s">
        <v>874</v>
      </c>
      <c r="D43" s="336" t="s">
        <v>178</v>
      </c>
      <c r="E43" s="337">
        <v>14</v>
      </c>
      <c r="F43" s="338">
        <v>0</v>
      </c>
      <c r="G43" s="339">
        <f t="shared" si="1"/>
        <v>0</v>
      </c>
      <c r="H43" s="339">
        <v>0</v>
      </c>
      <c r="I43" s="339">
        <v>0</v>
      </c>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row>
    <row r="44" spans="1:37" ht="12.75" outlineLevel="1">
      <c r="A44" s="449">
        <v>36</v>
      </c>
      <c r="B44" s="334" t="s">
        <v>875</v>
      </c>
      <c r="C44" s="335" t="s">
        <v>876</v>
      </c>
      <c r="D44" s="336" t="s">
        <v>178</v>
      </c>
      <c r="E44" s="337">
        <v>6</v>
      </c>
      <c r="F44" s="338">
        <v>0</v>
      </c>
      <c r="G44" s="339">
        <f t="shared" si="1"/>
        <v>0</v>
      </c>
      <c r="H44" s="339">
        <v>0</v>
      </c>
      <c r="I44" s="339">
        <v>0</v>
      </c>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row>
    <row r="45" spans="1:37" ht="12.75" outlineLevel="1">
      <c r="A45" s="449">
        <v>37</v>
      </c>
      <c r="B45" s="334" t="s">
        <v>877</v>
      </c>
      <c r="C45" s="335" t="s">
        <v>878</v>
      </c>
      <c r="D45" s="336" t="s">
        <v>178</v>
      </c>
      <c r="E45" s="337">
        <v>10</v>
      </c>
      <c r="F45" s="338">
        <v>0</v>
      </c>
      <c r="G45" s="339">
        <f t="shared" si="1"/>
        <v>0</v>
      </c>
      <c r="H45" s="339">
        <v>0</v>
      </c>
      <c r="I45" s="339">
        <v>0</v>
      </c>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row>
    <row r="46" spans="1:37" ht="12.75" outlineLevel="1">
      <c r="A46" s="449">
        <v>38</v>
      </c>
      <c r="B46" s="334" t="s">
        <v>879</v>
      </c>
      <c r="C46" s="335" t="s">
        <v>880</v>
      </c>
      <c r="D46" s="336" t="s">
        <v>178</v>
      </c>
      <c r="E46" s="337">
        <v>5</v>
      </c>
      <c r="F46" s="338">
        <v>0</v>
      </c>
      <c r="G46" s="339">
        <f t="shared" si="1"/>
        <v>0</v>
      </c>
      <c r="H46" s="339">
        <v>0</v>
      </c>
      <c r="I46" s="339">
        <v>0</v>
      </c>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row>
    <row r="47" spans="1:37" ht="12.75" outlineLevel="1">
      <c r="A47" s="449">
        <v>39</v>
      </c>
      <c r="B47" s="334" t="s">
        <v>881</v>
      </c>
      <c r="C47" s="335" t="s">
        <v>882</v>
      </c>
      <c r="D47" s="336" t="s">
        <v>178</v>
      </c>
      <c r="E47" s="337">
        <v>9</v>
      </c>
      <c r="F47" s="338">
        <v>0</v>
      </c>
      <c r="G47" s="339">
        <f t="shared" si="1"/>
        <v>0</v>
      </c>
      <c r="H47" s="339">
        <v>0</v>
      </c>
      <c r="I47" s="339">
        <v>0</v>
      </c>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1:37" ht="12.75" outlineLevel="1">
      <c r="A48" s="449">
        <v>40</v>
      </c>
      <c r="B48" s="334" t="s">
        <v>883</v>
      </c>
      <c r="C48" s="335" t="s">
        <v>884</v>
      </c>
      <c r="D48" s="336" t="s">
        <v>178</v>
      </c>
      <c r="E48" s="337">
        <v>3</v>
      </c>
      <c r="F48" s="338">
        <v>0</v>
      </c>
      <c r="G48" s="339">
        <f t="shared" si="1"/>
        <v>0</v>
      </c>
      <c r="H48" s="339">
        <v>0</v>
      </c>
      <c r="I48" s="339">
        <v>0</v>
      </c>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row>
    <row r="49" spans="1:37" ht="12.75" outlineLevel="1">
      <c r="A49" s="449">
        <v>41</v>
      </c>
      <c r="B49" s="334" t="s">
        <v>885</v>
      </c>
      <c r="C49" s="335" t="s">
        <v>886</v>
      </c>
      <c r="D49" s="336" t="s">
        <v>178</v>
      </c>
      <c r="E49" s="337">
        <v>3</v>
      </c>
      <c r="F49" s="338">
        <v>0</v>
      </c>
      <c r="G49" s="339">
        <f t="shared" si="1"/>
        <v>0</v>
      </c>
      <c r="H49" s="339">
        <v>0</v>
      </c>
      <c r="I49" s="339">
        <v>0</v>
      </c>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row>
    <row r="50" spans="1:37" ht="12.75" outlineLevel="1">
      <c r="A50" s="449">
        <v>42</v>
      </c>
      <c r="B50" s="334" t="s">
        <v>887</v>
      </c>
      <c r="C50" s="335" t="s">
        <v>888</v>
      </c>
      <c r="D50" s="336" t="s">
        <v>178</v>
      </c>
      <c r="E50" s="337">
        <v>3</v>
      </c>
      <c r="F50" s="338">
        <v>0</v>
      </c>
      <c r="G50" s="339">
        <f t="shared" si="1"/>
        <v>0</v>
      </c>
      <c r="H50" s="339">
        <v>0</v>
      </c>
      <c r="I50" s="339">
        <v>0</v>
      </c>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row>
    <row r="51" spans="1:37" ht="12.75" outlineLevel="1">
      <c r="A51" s="449">
        <v>43</v>
      </c>
      <c r="B51" s="334" t="s">
        <v>889</v>
      </c>
      <c r="C51" s="335" t="s">
        <v>890</v>
      </c>
      <c r="D51" s="336" t="s">
        <v>178</v>
      </c>
      <c r="E51" s="337">
        <v>2</v>
      </c>
      <c r="F51" s="338">
        <v>0</v>
      </c>
      <c r="G51" s="339">
        <f t="shared" si="1"/>
        <v>0</v>
      </c>
      <c r="H51" s="339">
        <v>0</v>
      </c>
      <c r="I51" s="339">
        <v>0</v>
      </c>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row>
    <row r="52" spans="1:37" ht="12.75" outlineLevel="1">
      <c r="A52" s="449">
        <v>44</v>
      </c>
      <c r="B52" s="334" t="s">
        <v>891</v>
      </c>
      <c r="C52" s="335" t="s">
        <v>892</v>
      </c>
      <c r="D52" s="336" t="s">
        <v>178</v>
      </c>
      <c r="E52" s="337">
        <v>5</v>
      </c>
      <c r="F52" s="338">
        <v>0</v>
      </c>
      <c r="G52" s="339">
        <f t="shared" si="1"/>
        <v>0</v>
      </c>
      <c r="H52" s="339">
        <v>0</v>
      </c>
      <c r="I52" s="339">
        <v>0</v>
      </c>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row>
    <row r="53" spans="1:37" ht="12.75" outlineLevel="1">
      <c r="A53" s="449">
        <v>45</v>
      </c>
      <c r="B53" s="334" t="s">
        <v>893</v>
      </c>
      <c r="C53" s="335" t="s">
        <v>894</v>
      </c>
      <c r="D53" s="336" t="s">
        <v>178</v>
      </c>
      <c r="E53" s="337">
        <v>2</v>
      </c>
      <c r="F53" s="338">
        <v>0</v>
      </c>
      <c r="G53" s="339">
        <f t="shared" si="1"/>
        <v>0</v>
      </c>
      <c r="H53" s="339">
        <v>0</v>
      </c>
      <c r="I53" s="339">
        <v>0</v>
      </c>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row>
    <row r="54" spans="1:37" ht="12.75" outlineLevel="1">
      <c r="A54" s="449">
        <v>46</v>
      </c>
      <c r="B54" s="334" t="s">
        <v>895</v>
      </c>
      <c r="C54" s="335" t="s">
        <v>896</v>
      </c>
      <c r="D54" s="336" t="s">
        <v>178</v>
      </c>
      <c r="E54" s="337">
        <v>4</v>
      </c>
      <c r="F54" s="338">
        <v>0</v>
      </c>
      <c r="G54" s="339">
        <f t="shared" si="1"/>
        <v>0</v>
      </c>
      <c r="H54" s="339">
        <v>0</v>
      </c>
      <c r="I54" s="339">
        <v>0</v>
      </c>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row>
    <row r="55" spans="1:37" ht="12.75" outlineLevel="1">
      <c r="A55" s="449">
        <v>47</v>
      </c>
      <c r="B55" s="334" t="s">
        <v>897</v>
      </c>
      <c r="C55" s="335" t="s">
        <v>898</v>
      </c>
      <c r="D55" s="336" t="s">
        <v>178</v>
      </c>
      <c r="E55" s="337">
        <v>2</v>
      </c>
      <c r="F55" s="338">
        <v>0</v>
      </c>
      <c r="G55" s="339">
        <f t="shared" si="1"/>
        <v>0</v>
      </c>
      <c r="H55" s="339">
        <v>0</v>
      </c>
      <c r="I55" s="339">
        <v>0</v>
      </c>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row>
    <row r="56" spans="1:37" ht="12.75" outlineLevel="1">
      <c r="A56" s="449">
        <v>48</v>
      </c>
      <c r="B56" s="334" t="s">
        <v>899</v>
      </c>
      <c r="C56" s="335" t="s">
        <v>900</v>
      </c>
      <c r="D56" s="336" t="s">
        <v>178</v>
      </c>
      <c r="E56" s="337">
        <v>2</v>
      </c>
      <c r="F56" s="338">
        <v>0</v>
      </c>
      <c r="G56" s="339">
        <f t="shared" si="1"/>
        <v>0</v>
      </c>
      <c r="H56" s="339">
        <v>0</v>
      </c>
      <c r="I56" s="339">
        <v>0</v>
      </c>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row>
    <row r="57" spans="1:37" ht="12.75" outlineLevel="1">
      <c r="A57" s="449">
        <v>49</v>
      </c>
      <c r="B57" s="334" t="s">
        <v>901</v>
      </c>
      <c r="C57" s="335" t="s">
        <v>902</v>
      </c>
      <c r="D57" s="336" t="s">
        <v>178</v>
      </c>
      <c r="E57" s="337">
        <v>3</v>
      </c>
      <c r="F57" s="338">
        <v>0</v>
      </c>
      <c r="G57" s="339">
        <f t="shared" si="1"/>
        <v>0</v>
      </c>
      <c r="H57" s="339">
        <v>0</v>
      </c>
      <c r="I57" s="339">
        <v>0</v>
      </c>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row>
    <row r="58" spans="1:37" ht="12.75" outlineLevel="1">
      <c r="A58" s="449">
        <v>50</v>
      </c>
      <c r="B58" s="334" t="s">
        <v>903</v>
      </c>
      <c r="C58" s="335" t="s">
        <v>904</v>
      </c>
      <c r="D58" s="336" t="s">
        <v>178</v>
      </c>
      <c r="E58" s="337">
        <v>2</v>
      </c>
      <c r="F58" s="338">
        <v>0</v>
      </c>
      <c r="G58" s="339">
        <f t="shared" si="1"/>
        <v>0</v>
      </c>
      <c r="H58" s="339">
        <v>0</v>
      </c>
      <c r="I58" s="339">
        <v>0</v>
      </c>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row>
    <row r="59" spans="1:37" ht="12.75" outlineLevel="1">
      <c r="A59" s="449">
        <v>51</v>
      </c>
      <c r="B59" s="334" t="s">
        <v>905</v>
      </c>
      <c r="C59" s="335" t="s">
        <v>906</v>
      </c>
      <c r="D59" s="336" t="s">
        <v>178</v>
      </c>
      <c r="E59" s="337">
        <v>1</v>
      </c>
      <c r="F59" s="338">
        <v>0</v>
      </c>
      <c r="G59" s="339">
        <f t="shared" si="1"/>
        <v>0</v>
      </c>
      <c r="H59" s="339">
        <v>0</v>
      </c>
      <c r="I59" s="339">
        <v>0</v>
      </c>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row>
    <row r="60" spans="1:37" ht="12.75" outlineLevel="1">
      <c r="A60" s="449">
        <v>52</v>
      </c>
      <c r="B60" s="334" t="s">
        <v>907</v>
      </c>
      <c r="C60" s="335" t="s">
        <v>908</v>
      </c>
      <c r="D60" s="336" t="s">
        <v>178</v>
      </c>
      <c r="E60" s="337">
        <v>1</v>
      </c>
      <c r="F60" s="338">
        <v>0</v>
      </c>
      <c r="G60" s="339">
        <f t="shared" si="1"/>
        <v>0</v>
      </c>
      <c r="H60" s="339">
        <v>0</v>
      </c>
      <c r="I60" s="339">
        <v>0</v>
      </c>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row>
    <row r="61" spans="1:37" ht="12.75" outlineLevel="1">
      <c r="A61" s="449">
        <v>53</v>
      </c>
      <c r="B61" s="334" t="s">
        <v>909</v>
      </c>
      <c r="C61" s="335" t="s">
        <v>910</v>
      </c>
      <c r="D61" s="336" t="s">
        <v>178</v>
      </c>
      <c r="E61" s="337">
        <v>2</v>
      </c>
      <c r="F61" s="338">
        <v>0</v>
      </c>
      <c r="G61" s="339">
        <f t="shared" si="1"/>
        <v>0</v>
      </c>
      <c r="H61" s="339">
        <v>0</v>
      </c>
      <c r="I61" s="339">
        <v>0</v>
      </c>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row>
    <row r="62" spans="1:37" ht="12.75" outlineLevel="1">
      <c r="A62" s="449">
        <v>54</v>
      </c>
      <c r="B62" s="334" t="s">
        <v>911</v>
      </c>
      <c r="C62" s="335" t="s">
        <v>912</v>
      </c>
      <c r="D62" s="336" t="s">
        <v>178</v>
      </c>
      <c r="E62" s="337">
        <v>1</v>
      </c>
      <c r="F62" s="338">
        <v>0</v>
      </c>
      <c r="G62" s="339">
        <f t="shared" si="1"/>
        <v>0</v>
      </c>
      <c r="H62" s="339">
        <v>0</v>
      </c>
      <c r="I62" s="339">
        <v>0</v>
      </c>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row>
    <row r="63" spans="1:37" ht="12.75" outlineLevel="1">
      <c r="A63" s="449">
        <v>55</v>
      </c>
      <c r="B63" s="334" t="s">
        <v>913</v>
      </c>
      <c r="C63" s="335" t="s">
        <v>914</v>
      </c>
      <c r="D63" s="336" t="s">
        <v>178</v>
      </c>
      <c r="E63" s="337">
        <v>2</v>
      </c>
      <c r="F63" s="338">
        <v>0</v>
      </c>
      <c r="G63" s="339">
        <f t="shared" si="1"/>
        <v>0</v>
      </c>
      <c r="H63" s="339">
        <v>0</v>
      </c>
      <c r="I63" s="339">
        <v>0</v>
      </c>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1:37" ht="12.75" outlineLevel="1">
      <c r="A64" s="449">
        <v>56</v>
      </c>
      <c r="B64" s="334" t="s">
        <v>915</v>
      </c>
      <c r="C64" s="335" t="s">
        <v>916</v>
      </c>
      <c r="D64" s="336" t="s">
        <v>178</v>
      </c>
      <c r="E64" s="337">
        <v>2</v>
      </c>
      <c r="F64" s="338">
        <v>0</v>
      </c>
      <c r="G64" s="339">
        <f t="shared" si="1"/>
        <v>0</v>
      </c>
      <c r="H64" s="339">
        <v>0</v>
      </c>
      <c r="I64" s="339">
        <v>0</v>
      </c>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row>
    <row r="65" spans="1:37" ht="12.75" outlineLevel="1">
      <c r="A65" s="449">
        <v>57</v>
      </c>
      <c r="B65" s="334" t="s">
        <v>917</v>
      </c>
      <c r="C65" s="335" t="s">
        <v>918</v>
      </c>
      <c r="D65" s="336" t="s">
        <v>178</v>
      </c>
      <c r="E65" s="337">
        <v>3</v>
      </c>
      <c r="F65" s="338">
        <v>0</v>
      </c>
      <c r="G65" s="339">
        <f t="shared" si="1"/>
        <v>0</v>
      </c>
      <c r="H65" s="339">
        <v>0</v>
      </c>
      <c r="I65" s="339">
        <v>0</v>
      </c>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row>
    <row r="66" spans="1:37" ht="12.75" outlineLevel="1">
      <c r="A66" s="449">
        <v>58</v>
      </c>
      <c r="B66" s="334" t="s">
        <v>919</v>
      </c>
      <c r="C66" s="335" t="s">
        <v>920</v>
      </c>
      <c r="D66" s="336" t="s">
        <v>178</v>
      </c>
      <c r="E66" s="337">
        <v>6</v>
      </c>
      <c r="F66" s="338">
        <v>0</v>
      </c>
      <c r="G66" s="339">
        <f t="shared" si="1"/>
        <v>0</v>
      </c>
      <c r="H66" s="339">
        <v>0</v>
      </c>
      <c r="I66" s="339">
        <v>0</v>
      </c>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row>
    <row r="67" spans="1:37" ht="12.75" outlineLevel="1">
      <c r="A67" s="449">
        <v>59</v>
      </c>
      <c r="B67" s="334" t="s">
        <v>921</v>
      </c>
      <c r="C67" s="335" t="s">
        <v>922</v>
      </c>
      <c r="D67" s="336" t="s">
        <v>178</v>
      </c>
      <c r="E67" s="337">
        <v>2</v>
      </c>
      <c r="F67" s="338">
        <v>0</v>
      </c>
      <c r="G67" s="339">
        <f t="shared" si="1"/>
        <v>0</v>
      </c>
      <c r="H67" s="339">
        <v>0</v>
      </c>
      <c r="I67" s="339">
        <v>0</v>
      </c>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row>
    <row r="68" spans="1:37" ht="12.75" outlineLevel="1">
      <c r="A68" s="449">
        <v>60</v>
      </c>
      <c r="B68" s="334" t="s">
        <v>923</v>
      </c>
      <c r="C68" s="335" t="s">
        <v>924</v>
      </c>
      <c r="D68" s="336" t="s">
        <v>178</v>
      </c>
      <c r="E68" s="337">
        <v>1</v>
      </c>
      <c r="F68" s="338">
        <v>0</v>
      </c>
      <c r="G68" s="339">
        <f t="shared" si="1"/>
        <v>0</v>
      </c>
      <c r="H68" s="339">
        <v>0</v>
      </c>
      <c r="I68" s="339">
        <v>0</v>
      </c>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row>
    <row r="69" spans="1:37" ht="12.75" outlineLevel="1">
      <c r="A69" s="449">
        <v>61</v>
      </c>
      <c r="B69" s="334" t="s">
        <v>925</v>
      </c>
      <c r="C69" s="335" t="s">
        <v>926</v>
      </c>
      <c r="D69" s="336" t="s">
        <v>178</v>
      </c>
      <c r="E69" s="337">
        <v>1</v>
      </c>
      <c r="F69" s="338">
        <v>0</v>
      </c>
      <c r="G69" s="339">
        <f t="shared" si="1"/>
        <v>0</v>
      </c>
      <c r="H69" s="339">
        <v>0</v>
      </c>
      <c r="I69" s="339">
        <v>0</v>
      </c>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row>
    <row r="70" spans="1:37" ht="12.75" outlineLevel="1">
      <c r="A70" s="449">
        <v>62</v>
      </c>
      <c r="B70" s="334" t="s">
        <v>927</v>
      </c>
      <c r="C70" s="335" t="s">
        <v>928</v>
      </c>
      <c r="D70" s="336" t="s">
        <v>178</v>
      </c>
      <c r="E70" s="337">
        <v>1</v>
      </c>
      <c r="F70" s="338">
        <v>0</v>
      </c>
      <c r="G70" s="339">
        <f t="shared" si="1"/>
        <v>0</v>
      </c>
      <c r="H70" s="339">
        <v>0</v>
      </c>
      <c r="I70" s="339">
        <v>0</v>
      </c>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row>
    <row r="71" spans="1:37" ht="12.75" outlineLevel="1">
      <c r="A71" s="449">
        <v>63</v>
      </c>
      <c r="B71" s="334" t="s">
        <v>929</v>
      </c>
      <c r="C71" s="335" t="s">
        <v>930</v>
      </c>
      <c r="D71" s="336" t="s">
        <v>178</v>
      </c>
      <c r="E71" s="337">
        <v>3</v>
      </c>
      <c r="F71" s="338">
        <v>0</v>
      </c>
      <c r="G71" s="339">
        <f t="shared" si="1"/>
        <v>0</v>
      </c>
      <c r="H71" s="339">
        <v>0</v>
      </c>
      <c r="I71" s="339">
        <v>0</v>
      </c>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row>
    <row r="72" spans="1:37" ht="12.75" outlineLevel="1">
      <c r="A72" s="449">
        <v>64</v>
      </c>
      <c r="B72" s="334" t="s">
        <v>931</v>
      </c>
      <c r="C72" s="335" t="s">
        <v>932</v>
      </c>
      <c r="D72" s="336" t="s">
        <v>178</v>
      </c>
      <c r="E72" s="337">
        <v>6</v>
      </c>
      <c r="F72" s="338">
        <v>0</v>
      </c>
      <c r="G72" s="339">
        <f t="shared" si="1"/>
        <v>0</v>
      </c>
      <c r="H72" s="339">
        <v>0</v>
      </c>
      <c r="I72" s="339">
        <v>0</v>
      </c>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row>
    <row r="73" spans="1:37" ht="12.75" outlineLevel="1">
      <c r="A73" s="449">
        <v>65</v>
      </c>
      <c r="B73" s="334" t="s">
        <v>933</v>
      </c>
      <c r="C73" s="335" t="s">
        <v>934</v>
      </c>
      <c r="D73" s="336" t="s">
        <v>178</v>
      </c>
      <c r="E73" s="337">
        <v>1</v>
      </c>
      <c r="F73" s="338">
        <v>0</v>
      </c>
      <c r="G73" s="339">
        <f aca="true" t="shared" si="2" ref="G73:G88">SUM(E73*F73)</f>
        <v>0</v>
      </c>
      <c r="H73" s="339">
        <v>0</v>
      </c>
      <c r="I73" s="339">
        <v>0</v>
      </c>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row>
    <row r="74" spans="1:37" ht="12.75" outlineLevel="1">
      <c r="A74" s="449">
        <v>66</v>
      </c>
      <c r="B74" s="334" t="s">
        <v>935</v>
      </c>
      <c r="C74" s="335" t="s">
        <v>936</v>
      </c>
      <c r="D74" s="336" t="s">
        <v>178</v>
      </c>
      <c r="E74" s="337">
        <v>1</v>
      </c>
      <c r="F74" s="338">
        <v>0</v>
      </c>
      <c r="G74" s="339">
        <f t="shared" si="2"/>
        <v>0</v>
      </c>
      <c r="H74" s="339">
        <v>0</v>
      </c>
      <c r="I74" s="339">
        <v>0</v>
      </c>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row>
    <row r="75" spans="1:37" ht="12.75" outlineLevel="1">
      <c r="A75" s="449">
        <v>67</v>
      </c>
      <c r="B75" s="334" t="s">
        <v>937</v>
      </c>
      <c r="C75" s="335" t="s">
        <v>938</v>
      </c>
      <c r="D75" s="336" t="s">
        <v>178</v>
      </c>
      <c r="E75" s="337">
        <v>6</v>
      </c>
      <c r="F75" s="338">
        <v>0</v>
      </c>
      <c r="G75" s="339">
        <f t="shared" si="2"/>
        <v>0</v>
      </c>
      <c r="H75" s="339">
        <v>0</v>
      </c>
      <c r="I75" s="339">
        <v>0</v>
      </c>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row>
    <row r="76" spans="1:37" ht="12.75" outlineLevel="1">
      <c r="A76" s="449">
        <v>68</v>
      </c>
      <c r="B76" s="334" t="s">
        <v>939</v>
      </c>
      <c r="C76" s="335" t="s">
        <v>940</v>
      </c>
      <c r="D76" s="336" t="s">
        <v>178</v>
      </c>
      <c r="E76" s="337">
        <v>2</v>
      </c>
      <c r="F76" s="338">
        <v>0</v>
      </c>
      <c r="G76" s="339">
        <f t="shared" si="2"/>
        <v>0</v>
      </c>
      <c r="H76" s="339">
        <v>0</v>
      </c>
      <c r="I76" s="339">
        <v>0</v>
      </c>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row>
    <row r="77" spans="1:37" ht="12.75" outlineLevel="1">
      <c r="A77" s="449">
        <v>69</v>
      </c>
      <c r="B77" s="334" t="s">
        <v>941</v>
      </c>
      <c r="C77" s="335" t="s">
        <v>942</v>
      </c>
      <c r="D77" s="336" t="s">
        <v>178</v>
      </c>
      <c r="E77" s="337">
        <v>1</v>
      </c>
      <c r="F77" s="338">
        <v>0</v>
      </c>
      <c r="G77" s="339">
        <f t="shared" si="2"/>
        <v>0</v>
      </c>
      <c r="H77" s="339">
        <v>0</v>
      </c>
      <c r="I77" s="339">
        <v>0</v>
      </c>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row>
    <row r="78" spans="1:37" ht="12.75" outlineLevel="1">
      <c r="A78" s="449">
        <v>70</v>
      </c>
      <c r="B78" s="334" t="s">
        <v>943</v>
      </c>
      <c r="C78" s="335" t="s">
        <v>944</v>
      </c>
      <c r="D78" s="336" t="s">
        <v>178</v>
      </c>
      <c r="E78" s="337">
        <v>2</v>
      </c>
      <c r="F78" s="338">
        <v>0</v>
      </c>
      <c r="G78" s="339">
        <f t="shared" si="2"/>
        <v>0</v>
      </c>
      <c r="H78" s="339">
        <v>0</v>
      </c>
      <c r="I78" s="339">
        <v>0</v>
      </c>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row>
    <row r="79" spans="1:37" ht="12.75" outlineLevel="1">
      <c r="A79" s="449">
        <v>71</v>
      </c>
      <c r="B79" s="334" t="s">
        <v>945</v>
      </c>
      <c r="C79" s="335" t="s">
        <v>946</v>
      </c>
      <c r="D79" s="336" t="s">
        <v>178</v>
      </c>
      <c r="E79" s="337">
        <v>1</v>
      </c>
      <c r="F79" s="338">
        <v>0</v>
      </c>
      <c r="G79" s="339">
        <f t="shared" si="2"/>
        <v>0</v>
      </c>
      <c r="H79" s="339">
        <v>0</v>
      </c>
      <c r="I79" s="339">
        <v>0</v>
      </c>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row>
    <row r="80" spans="1:37" ht="12.75" outlineLevel="1">
      <c r="A80" s="449">
        <v>72</v>
      </c>
      <c r="B80" s="334" t="s">
        <v>947</v>
      </c>
      <c r="C80" s="335" t="s">
        <v>948</v>
      </c>
      <c r="D80" s="336" t="s">
        <v>178</v>
      </c>
      <c r="E80" s="337">
        <v>1</v>
      </c>
      <c r="F80" s="338">
        <v>0</v>
      </c>
      <c r="G80" s="339">
        <f t="shared" si="2"/>
        <v>0</v>
      </c>
      <c r="H80" s="339">
        <v>0</v>
      </c>
      <c r="I80" s="339">
        <v>0</v>
      </c>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row>
    <row r="81" spans="1:37" ht="12.75" outlineLevel="1">
      <c r="A81" s="449">
        <v>73</v>
      </c>
      <c r="B81" s="334" t="s">
        <v>949</v>
      </c>
      <c r="C81" s="335" t="s">
        <v>950</v>
      </c>
      <c r="D81" s="336" t="s">
        <v>178</v>
      </c>
      <c r="E81" s="337">
        <v>1</v>
      </c>
      <c r="F81" s="338">
        <v>0</v>
      </c>
      <c r="G81" s="339">
        <f t="shared" si="2"/>
        <v>0</v>
      </c>
      <c r="H81" s="339">
        <v>0</v>
      </c>
      <c r="I81" s="339">
        <v>0</v>
      </c>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row>
    <row r="82" spans="1:37" ht="12.75" outlineLevel="1">
      <c r="A82" s="449">
        <v>74</v>
      </c>
      <c r="B82" s="334" t="s">
        <v>951</v>
      </c>
      <c r="C82" s="335" t="s">
        <v>952</v>
      </c>
      <c r="D82" s="336" t="s">
        <v>178</v>
      </c>
      <c r="E82" s="337">
        <v>3</v>
      </c>
      <c r="F82" s="338">
        <v>0</v>
      </c>
      <c r="G82" s="339">
        <f t="shared" si="2"/>
        <v>0</v>
      </c>
      <c r="H82" s="339">
        <v>0</v>
      </c>
      <c r="I82" s="339">
        <v>0</v>
      </c>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row>
    <row r="83" spans="1:37" ht="12.75" outlineLevel="1">
      <c r="A83" s="449">
        <v>75</v>
      </c>
      <c r="B83" s="334" t="s">
        <v>953</v>
      </c>
      <c r="C83" s="335" t="s">
        <v>954</v>
      </c>
      <c r="D83" s="336" t="s">
        <v>178</v>
      </c>
      <c r="E83" s="337">
        <v>1</v>
      </c>
      <c r="F83" s="338">
        <v>0</v>
      </c>
      <c r="G83" s="339">
        <f t="shared" si="2"/>
        <v>0</v>
      </c>
      <c r="H83" s="339">
        <v>0</v>
      </c>
      <c r="I83" s="339">
        <v>0</v>
      </c>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row>
    <row r="84" spans="1:37" ht="12.75" outlineLevel="1">
      <c r="A84" s="449">
        <v>76</v>
      </c>
      <c r="B84" s="334" t="s">
        <v>955</v>
      </c>
      <c r="C84" s="335" t="s">
        <v>956</v>
      </c>
      <c r="D84" s="336" t="s">
        <v>178</v>
      </c>
      <c r="E84" s="337">
        <v>1</v>
      </c>
      <c r="F84" s="338">
        <v>0</v>
      </c>
      <c r="G84" s="339">
        <f t="shared" si="2"/>
        <v>0</v>
      </c>
      <c r="H84" s="339">
        <v>0</v>
      </c>
      <c r="I84" s="339">
        <v>0</v>
      </c>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row>
    <row r="85" spans="1:37" ht="12.75" outlineLevel="1">
      <c r="A85" s="449">
        <v>77</v>
      </c>
      <c r="B85" s="334" t="s">
        <v>957</v>
      </c>
      <c r="C85" s="335" t="s">
        <v>958</v>
      </c>
      <c r="D85" s="336" t="s">
        <v>178</v>
      </c>
      <c r="E85" s="337">
        <v>49</v>
      </c>
      <c r="F85" s="338">
        <v>0</v>
      </c>
      <c r="G85" s="339">
        <f t="shared" si="2"/>
        <v>0</v>
      </c>
      <c r="H85" s="339">
        <v>0</v>
      </c>
      <c r="I85" s="339">
        <v>0</v>
      </c>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row>
    <row r="86" spans="1:37" ht="12.75" outlineLevel="1">
      <c r="A86" s="449">
        <v>78</v>
      </c>
      <c r="B86" s="334" t="s">
        <v>959</v>
      </c>
      <c r="C86" s="335" t="s">
        <v>960</v>
      </c>
      <c r="D86" s="336" t="s">
        <v>178</v>
      </c>
      <c r="E86" s="337">
        <v>16</v>
      </c>
      <c r="F86" s="338">
        <v>0</v>
      </c>
      <c r="G86" s="339">
        <f t="shared" si="2"/>
        <v>0</v>
      </c>
      <c r="H86" s="339">
        <v>0</v>
      </c>
      <c r="I86" s="339">
        <v>0</v>
      </c>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row>
    <row r="87" spans="1:37" ht="12.75" outlineLevel="1">
      <c r="A87" s="449">
        <v>79</v>
      </c>
      <c r="B87" s="334" t="s">
        <v>961</v>
      </c>
      <c r="C87" s="335" t="s">
        <v>962</v>
      </c>
      <c r="D87" s="336" t="s">
        <v>188</v>
      </c>
      <c r="E87" s="337">
        <v>5.5</v>
      </c>
      <c r="F87" s="338">
        <v>0</v>
      </c>
      <c r="G87" s="339">
        <f t="shared" si="2"/>
        <v>0</v>
      </c>
      <c r="H87" s="339">
        <v>0</v>
      </c>
      <c r="I87" s="339">
        <v>0</v>
      </c>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row>
    <row r="88" spans="1:37" ht="12.75" outlineLevel="1">
      <c r="A88" s="449">
        <v>80</v>
      </c>
      <c r="B88" s="334" t="s">
        <v>963</v>
      </c>
      <c r="C88" s="335" t="s">
        <v>964</v>
      </c>
      <c r="D88" s="336" t="s">
        <v>188</v>
      </c>
      <c r="E88" s="337">
        <v>2.9</v>
      </c>
      <c r="F88" s="338">
        <v>0</v>
      </c>
      <c r="G88" s="339">
        <f t="shared" si="2"/>
        <v>0</v>
      </c>
      <c r="H88" s="339">
        <v>0</v>
      </c>
      <c r="I88" s="339">
        <v>0</v>
      </c>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c r="AJ88" s="340"/>
      <c r="AK88" s="340"/>
    </row>
    <row r="89" spans="1:9" ht="12.75">
      <c r="A89" s="448" t="s">
        <v>414</v>
      </c>
      <c r="B89" s="328" t="s">
        <v>965</v>
      </c>
      <c r="C89" s="329" t="s">
        <v>966</v>
      </c>
      <c r="D89" s="330"/>
      <c r="E89" s="331"/>
      <c r="F89" s="332"/>
      <c r="G89" s="333">
        <f>SUM(G90:G99)</f>
        <v>0</v>
      </c>
      <c r="H89" s="333">
        <f>SUM(H90:H99)</f>
        <v>0</v>
      </c>
      <c r="I89" s="333">
        <f>SUM(I90:I99)</f>
        <v>0</v>
      </c>
    </row>
    <row r="90" spans="1:9" ht="12.75" outlineLevel="1">
      <c r="A90" s="449">
        <v>81</v>
      </c>
      <c r="B90" s="334" t="s">
        <v>802</v>
      </c>
      <c r="C90" s="335" t="s">
        <v>967</v>
      </c>
      <c r="D90" s="336" t="s">
        <v>974</v>
      </c>
      <c r="E90" s="337">
        <v>40</v>
      </c>
      <c r="F90" s="338">
        <v>0</v>
      </c>
      <c r="G90" s="339">
        <f aca="true" t="shared" si="3" ref="G90:G99">SUM(E90*F90)</f>
        <v>0</v>
      </c>
      <c r="H90" s="339">
        <v>0</v>
      </c>
      <c r="I90" s="339">
        <v>0</v>
      </c>
    </row>
    <row r="91" spans="1:9" ht="12.75" outlineLevel="1">
      <c r="A91" s="449">
        <v>82</v>
      </c>
      <c r="B91" s="334" t="s">
        <v>968</v>
      </c>
      <c r="C91" s="335" t="s">
        <v>969</v>
      </c>
      <c r="D91" s="336" t="s">
        <v>25</v>
      </c>
      <c r="E91" s="337">
        <v>1</v>
      </c>
      <c r="F91" s="338">
        <v>0</v>
      </c>
      <c r="G91" s="339">
        <f t="shared" si="3"/>
        <v>0</v>
      </c>
      <c r="H91" s="339">
        <v>0</v>
      </c>
      <c r="I91" s="339">
        <v>0</v>
      </c>
    </row>
    <row r="92" spans="1:9" ht="12.75" outlineLevel="1">
      <c r="A92" s="449">
        <v>83</v>
      </c>
      <c r="B92" s="334" t="s">
        <v>970</v>
      </c>
      <c r="C92" s="335" t="s">
        <v>971</v>
      </c>
      <c r="D92" s="336" t="s">
        <v>25</v>
      </c>
      <c r="E92" s="337">
        <v>1</v>
      </c>
      <c r="F92" s="338">
        <v>0</v>
      </c>
      <c r="G92" s="339">
        <f t="shared" si="3"/>
        <v>0</v>
      </c>
      <c r="H92" s="339">
        <v>0</v>
      </c>
      <c r="I92" s="339">
        <v>0</v>
      </c>
    </row>
    <row r="93" spans="1:9" ht="12.75" outlineLevel="1">
      <c r="A93" s="449">
        <v>84</v>
      </c>
      <c r="B93" s="334" t="s">
        <v>972</v>
      </c>
      <c r="C93" s="335" t="s">
        <v>973</v>
      </c>
      <c r="D93" s="336" t="s">
        <v>974</v>
      </c>
      <c r="E93" s="337">
        <v>1</v>
      </c>
      <c r="F93" s="338">
        <v>0</v>
      </c>
      <c r="G93" s="339">
        <f t="shared" si="3"/>
        <v>0</v>
      </c>
      <c r="H93" s="339">
        <v>0</v>
      </c>
      <c r="I93" s="339">
        <v>0</v>
      </c>
    </row>
    <row r="94" spans="1:9" ht="12.75" outlineLevel="1">
      <c r="A94" s="449">
        <v>85</v>
      </c>
      <c r="B94" s="334" t="s">
        <v>975</v>
      </c>
      <c r="C94" s="335" t="s">
        <v>976</v>
      </c>
      <c r="D94" s="336" t="s">
        <v>25</v>
      </c>
      <c r="E94" s="337">
        <v>4</v>
      </c>
      <c r="F94" s="338">
        <v>0</v>
      </c>
      <c r="G94" s="339">
        <f t="shared" si="3"/>
        <v>0</v>
      </c>
      <c r="H94" s="339">
        <v>0</v>
      </c>
      <c r="I94" s="339">
        <v>0</v>
      </c>
    </row>
    <row r="95" spans="1:9" ht="12.75" outlineLevel="1">
      <c r="A95" s="449">
        <v>86</v>
      </c>
      <c r="B95" s="334" t="s">
        <v>977</v>
      </c>
      <c r="C95" s="335" t="s">
        <v>978</v>
      </c>
      <c r="D95" s="336" t="s">
        <v>25</v>
      </c>
      <c r="E95" s="337">
        <v>1</v>
      </c>
      <c r="F95" s="338">
        <v>0</v>
      </c>
      <c r="G95" s="339">
        <f t="shared" si="3"/>
        <v>0</v>
      </c>
      <c r="H95" s="339">
        <v>0</v>
      </c>
      <c r="I95" s="339">
        <v>0</v>
      </c>
    </row>
    <row r="96" spans="1:9" ht="12.75" outlineLevel="1">
      <c r="A96" s="449">
        <v>87</v>
      </c>
      <c r="B96" s="334" t="s">
        <v>979</v>
      </c>
      <c r="C96" s="335" t="s">
        <v>980</v>
      </c>
      <c r="D96" s="336" t="s">
        <v>25</v>
      </c>
      <c r="E96" s="337">
        <v>1</v>
      </c>
      <c r="F96" s="338">
        <v>0</v>
      </c>
      <c r="G96" s="339">
        <f t="shared" si="3"/>
        <v>0</v>
      </c>
      <c r="H96" s="339">
        <v>0</v>
      </c>
      <c r="I96" s="339">
        <v>0</v>
      </c>
    </row>
    <row r="97" spans="1:9" ht="12.75" outlineLevel="1">
      <c r="A97" s="449">
        <v>88</v>
      </c>
      <c r="B97" s="334" t="s">
        <v>981</v>
      </c>
      <c r="C97" s="335" t="s">
        <v>982</v>
      </c>
      <c r="D97" s="336" t="s">
        <v>25</v>
      </c>
      <c r="E97" s="337">
        <v>1</v>
      </c>
      <c r="F97" s="338">
        <v>0</v>
      </c>
      <c r="G97" s="339">
        <f t="shared" si="3"/>
        <v>0</v>
      </c>
      <c r="H97" s="339">
        <v>0</v>
      </c>
      <c r="I97" s="339">
        <v>0</v>
      </c>
    </row>
    <row r="98" spans="1:9" ht="12.75" outlineLevel="1">
      <c r="A98" s="449">
        <v>89</v>
      </c>
      <c r="B98" s="334" t="s">
        <v>983</v>
      </c>
      <c r="C98" s="335" t="s">
        <v>984</v>
      </c>
      <c r="D98" s="336" t="s">
        <v>25</v>
      </c>
      <c r="E98" s="337">
        <v>6</v>
      </c>
      <c r="F98" s="338">
        <v>0</v>
      </c>
      <c r="G98" s="339">
        <f t="shared" si="3"/>
        <v>0</v>
      </c>
      <c r="H98" s="339">
        <v>0</v>
      </c>
      <c r="I98" s="339">
        <v>0</v>
      </c>
    </row>
    <row r="99" spans="1:9" ht="12.75" outlineLevel="1">
      <c r="A99" s="511">
        <v>90</v>
      </c>
      <c r="B99" s="341" t="s">
        <v>985</v>
      </c>
      <c r="C99" s="342" t="s">
        <v>986</v>
      </c>
      <c r="D99" s="343" t="s">
        <v>23</v>
      </c>
      <c r="E99" s="344">
        <v>9519.33</v>
      </c>
      <c r="F99" s="345">
        <v>0</v>
      </c>
      <c r="G99" s="346">
        <f t="shared" si="3"/>
        <v>0</v>
      </c>
      <c r="H99" s="339">
        <v>0</v>
      </c>
      <c r="I99" s="339">
        <v>0</v>
      </c>
    </row>
    <row r="100" spans="1:9" ht="12.75">
      <c r="A100" s="325"/>
      <c r="B100" s="324"/>
      <c r="C100" s="347"/>
      <c r="D100" s="325"/>
      <c r="E100" s="323"/>
      <c r="F100" s="323"/>
      <c r="G100" s="323"/>
      <c r="H100" s="323"/>
      <c r="I100" s="323"/>
    </row>
    <row r="101" spans="3:4" ht="12.75">
      <c r="C101" s="348"/>
      <c r="D101" s="11"/>
    </row>
    <row r="102" ht="12.75">
      <c r="D102" s="11"/>
    </row>
    <row r="103" ht="12.75">
      <c r="D103" s="11"/>
    </row>
    <row r="104" ht="12.75">
      <c r="D104" s="11"/>
    </row>
    <row r="105" ht="12.75">
      <c r="D105" s="11"/>
    </row>
    <row r="106" ht="12.75">
      <c r="D106" s="11"/>
    </row>
    <row r="107" ht="12.75">
      <c r="D107" s="11"/>
    </row>
    <row r="108" ht="12.75">
      <c r="D108" s="11"/>
    </row>
    <row r="109" ht="12.75">
      <c r="D109" s="11"/>
    </row>
    <row r="110" ht="12.75">
      <c r="D110" s="11"/>
    </row>
    <row r="111" ht="12.75">
      <c r="D111" s="11"/>
    </row>
    <row r="112" ht="12.75">
      <c r="D112" s="11"/>
    </row>
    <row r="113" ht="12.75">
      <c r="D113" s="11"/>
    </row>
    <row r="114" ht="12.75">
      <c r="D114" s="11"/>
    </row>
    <row r="115" ht="12.75">
      <c r="D115" s="11"/>
    </row>
    <row r="116" ht="12.75">
      <c r="D116" s="11"/>
    </row>
    <row r="117" ht="12.75">
      <c r="D117" s="11"/>
    </row>
    <row r="118" ht="12.75">
      <c r="D118" s="11"/>
    </row>
    <row r="119" ht="12.75">
      <c r="D119" s="11"/>
    </row>
    <row r="120" ht="12.75">
      <c r="D120" s="11"/>
    </row>
    <row r="121" ht="12.75">
      <c r="D121" s="11"/>
    </row>
    <row r="122" ht="12.75">
      <c r="D122" s="11"/>
    </row>
    <row r="123" ht="12.75">
      <c r="D123" s="11"/>
    </row>
    <row r="124" ht="12.75">
      <c r="D124" s="11"/>
    </row>
    <row r="125" ht="12.75">
      <c r="D125" s="11"/>
    </row>
    <row r="126" ht="12.75">
      <c r="D126" s="11"/>
    </row>
    <row r="127" ht="12.75">
      <c r="D127" s="11"/>
    </row>
    <row r="128" ht="12.75">
      <c r="D128" s="11"/>
    </row>
    <row r="129" ht="12.75">
      <c r="D129" s="11"/>
    </row>
    <row r="130" ht="12.75">
      <c r="D130" s="11"/>
    </row>
    <row r="131" ht="12.75">
      <c r="D131" s="11"/>
    </row>
    <row r="132" ht="12.75">
      <c r="D132" s="11"/>
    </row>
    <row r="133" ht="12.75">
      <c r="D133" s="11"/>
    </row>
    <row r="134" ht="12.75">
      <c r="D134" s="11"/>
    </row>
    <row r="135" ht="12.75">
      <c r="D135" s="11"/>
    </row>
    <row r="136" ht="12.75">
      <c r="D136" s="11"/>
    </row>
    <row r="137" ht="12.75">
      <c r="D137" s="11"/>
    </row>
    <row r="138" ht="12.75">
      <c r="D138" s="11"/>
    </row>
    <row r="139" ht="12.75">
      <c r="D139" s="11"/>
    </row>
    <row r="140" ht="12.75">
      <c r="D140" s="11"/>
    </row>
    <row r="141" ht="12.75">
      <c r="D141" s="11"/>
    </row>
    <row r="142" ht="12.75">
      <c r="D142" s="11"/>
    </row>
    <row r="143" ht="12.75">
      <c r="D143" s="11"/>
    </row>
    <row r="144" ht="12.75">
      <c r="D144" s="11"/>
    </row>
    <row r="145" ht="12.75">
      <c r="D145" s="11"/>
    </row>
    <row r="146" ht="12.75">
      <c r="D146" s="11"/>
    </row>
    <row r="147" ht="12.75">
      <c r="D147" s="11"/>
    </row>
    <row r="148" ht="12.75">
      <c r="D148" s="11"/>
    </row>
    <row r="149" ht="12.75">
      <c r="D149" s="11"/>
    </row>
    <row r="150" ht="12.75">
      <c r="D150" s="11"/>
    </row>
    <row r="151" ht="12.75">
      <c r="D151" s="11"/>
    </row>
    <row r="152" ht="12.75">
      <c r="D152" s="11"/>
    </row>
    <row r="153" ht="12.75">
      <c r="D153" s="11"/>
    </row>
    <row r="154" ht="12.75">
      <c r="D154" s="11"/>
    </row>
    <row r="155" ht="12.75">
      <c r="D155" s="11"/>
    </row>
    <row r="156" ht="12.75">
      <c r="D156" s="11"/>
    </row>
    <row r="157" ht="12.75">
      <c r="D157" s="11"/>
    </row>
    <row r="158" ht="12.75">
      <c r="D158" s="11"/>
    </row>
    <row r="159" ht="12.75">
      <c r="D159" s="11"/>
    </row>
    <row r="160" ht="12.75">
      <c r="D160" s="11"/>
    </row>
    <row r="161" ht="12.75">
      <c r="D161" s="11"/>
    </row>
    <row r="162" ht="12.75">
      <c r="D162" s="11"/>
    </row>
    <row r="163" ht="12.75">
      <c r="D163" s="11"/>
    </row>
    <row r="164" ht="12.75">
      <c r="D164" s="11"/>
    </row>
    <row r="165" ht="12.75">
      <c r="D165" s="11"/>
    </row>
    <row r="166" ht="12.75">
      <c r="D166" s="11"/>
    </row>
    <row r="167" ht="12.75">
      <c r="D167" s="11"/>
    </row>
    <row r="168" ht="12.75">
      <c r="D168" s="11"/>
    </row>
    <row r="169" ht="12.75">
      <c r="D169" s="11"/>
    </row>
    <row r="170" ht="12.75">
      <c r="D170" s="11"/>
    </row>
    <row r="171" ht="12.75">
      <c r="D171" s="11"/>
    </row>
    <row r="172" ht="12.75">
      <c r="D172" s="11"/>
    </row>
    <row r="173" ht="12.75">
      <c r="D173" s="11"/>
    </row>
    <row r="174" ht="12.75">
      <c r="D174" s="11"/>
    </row>
    <row r="175" ht="12.75">
      <c r="D175" s="11"/>
    </row>
    <row r="176" ht="12.75">
      <c r="D176" s="11"/>
    </row>
    <row r="177" ht="12.75">
      <c r="D177" s="11"/>
    </row>
    <row r="178" ht="12.75">
      <c r="D178" s="11"/>
    </row>
    <row r="179" ht="12.75">
      <c r="D179" s="11"/>
    </row>
    <row r="180" ht="12.75">
      <c r="D180" s="11"/>
    </row>
    <row r="181" ht="12.75">
      <c r="D181" s="11"/>
    </row>
    <row r="182" ht="12.75">
      <c r="D182" s="11"/>
    </row>
    <row r="183" ht="12.75">
      <c r="D183" s="11"/>
    </row>
    <row r="184" ht="12.75">
      <c r="D184" s="11"/>
    </row>
    <row r="185" ht="12.75">
      <c r="D185" s="11"/>
    </row>
    <row r="186" ht="12.75">
      <c r="D186" s="11"/>
    </row>
    <row r="187" ht="12.75">
      <c r="D187" s="11"/>
    </row>
    <row r="188" ht="12.75">
      <c r="D188" s="11"/>
    </row>
    <row r="189" ht="12.75">
      <c r="D189" s="11"/>
    </row>
    <row r="190" ht="12.75">
      <c r="D190" s="11"/>
    </row>
    <row r="191" ht="12.75">
      <c r="D191" s="11"/>
    </row>
    <row r="192" ht="12.75">
      <c r="D192" s="11"/>
    </row>
    <row r="193" ht="12.75">
      <c r="D193" s="11"/>
    </row>
    <row r="194" ht="12.75">
      <c r="D194" s="11"/>
    </row>
    <row r="195" ht="12.75">
      <c r="D195" s="11"/>
    </row>
    <row r="196" ht="12.75">
      <c r="D196" s="11"/>
    </row>
    <row r="197" ht="12.75">
      <c r="D197" s="11"/>
    </row>
    <row r="198" ht="12.75">
      <c r="D198" s="11"/>
    </row>
    <row r="199" ht="12.75">
      <c r="D199" s="11"/>
    </row>
    <row r="200" ht="12.75">
      <c r="D200" s="11"/>
    </row>
    <row r="201" ht="12.75">
      <c r="D201" s="11"/>
    </row>
    <row r="202" ht="12.75">
      <c r="D202" s="11"/>
    </row>
    <row r="203" ht="12.75">
      <c r="D203" s="11"/>
    </row>
    <row r="204" ht="12.75">
      <c r="D204" s="11"/>
    </row>
    <row r="205" ht="12.75">
      <c r="D205" s="11"/>
    </row>
    <row r="206" ht="12.75">
      <c r="D206" s="11"/>
    </row>
    <row r="207" ht="12.75">
      <c r="D207" s="11"/>
    </row>
    <row r="208" ht="12.75">
      <c r="D208" s="11"/>
    </row>
    <row r="209" ht="12.75">
      <c r="D209" s="11"/>
    </row>
    <row r="210" ht="12.75">
      <c r="D210" s="11"/>
    </row>
    <row r="211" ht="12.75">
      <c r="D211" s="11"/>
    </row>
    <row r="212" ht="12.75">
      <c r="D212" s="11"/>
    </row>
    <row r="213" ht="12.75">
      <c r="D213" s="11"/>
    </row>
    <row r="214" ht="12.75">
      <c r="D214" s="11"/>
    </row>
    <row r="215" ht="12.75">
      <c r="D215" s="11"/>
    </row>
    <row r="216" ht="12.75">
      <c r="D216" s="11"/>
    </row>
    <row r="217" ht="12.75">
      <c r="D217" s="11"/>
    </row>
    <row r="218" ht="12.75">
      <c r="D218" s="11"/>
    </row>
    <row r="219" ht="12.75">
      <c r="D219" s="11"/>
    </row>
    <row r="220" ht="12.75">
      <c r="D220" s="11"/>
    </row>
    <row r="221" ht="12.75">
      <c r="D221" s="11"/>
    </row>
    <row r="222" ht="12.75">
      <c r="D222" s="11"/>
    </row>
    <row r="223" ht="12.75">
      <c r="D223" s="11"/>
    </row>
    <row r="224" ht="12.75">
      <c r="D224" s="11"/>
    </row>
    <row r="225" ht="12.75">
      <c r="D225" s="11"/>
    </row>
    <row r="226" ht="12.75">
      <c r="D226" s="11"/>
    </row>
    <row r="227" ht="12.75">
      <c r="D227" s="11"/>
    </row>
    <row r="228" ht="12.75">
      <c r="D228" s="11"/>
    </row>
    <row r="229" ht="12.75">
      <c r="D229" s="11"/>
    </row>
    <row r="230" ht="12.75">
      <c r="D230" s="11"/>
    </row>
    <row r="231" ht="12.75">
      <c r="D231" s="11"/>
    </row>
    <row r="232" ht="12.75">
      <c r="D232" s="11"/>
    </row>
    <row r="233" ht="12.75">
      <c r="D233" s="11"/>
    </row>
    <row r="234" ht="12.75">
      <c r="D234" s="11"/>
    </row>
    <row r="235" ht="12.75">
      <c r="D235" s="11"/>
    </row>
    <row r="236" ht="12.75">
      <c r="D236" s="11"/>
    </row>
    <row r="237" ht="12.75">
      <c r="D237" s="11"/>
    </row>
    <row r="238" ht="12.75">
      <c r="D238" s="11"/>
    </row>
    <row r="239" ht="12.75">
      <c r="D239" s="11"/>
    </row>
    <row r="240" ht="12.75">
      <c r="D240" s="11"/>
    </row>
    <row r="241" ht="12.75">
      <c r="D241" s="11"/>
    </row>
    <row r="242" ht="12.75">
      <c r="D242" s="11"/>
    </row>
    <row r="243" ht="12.75">
      <c r="D243" s="11"/>
    </row>
    <row r="244" ht="12.75">
      <c r="D244" s="11"/>
    </row>
    <row r="245" ht="12.75">
      <c r="D245" s="11"/>
    </row>
    <row r="246" ht="12.75">
      <c r="D246" s="11"/>
    </row>
    <row r="247" ht="12.75">
      <c r="D247" s="11"/>
    </row>
    <row r="248" ht="12.75">
      <c r="D248" s="11"/>
    </row>
    <row r="249" ht="12.75">
      <c r="D249" s="11"/>
    </row>
    <row r="250" ht="12.75">
      <c r="D250" s="11"/>
    </row>
    <row r="251" ht="12.75">
      <c r="D251" s="11"/>
    </row>
    <row r="252" ht="12.75">
      <c r="D252" s="11"/>
    </row>
    <row r="253" ht="12.75">
      <c r="D253" s="11"/>
    </row>
    <row r="254" ht="12.75">
      <c r="D254" s="11"/>
    </row>
    <row r="255" ht="12.75">
      <c r="D255" s="11"/>
    </row>
    <row r="256" ht="12.75">
      <c r="D256" s="11"/>
    </row>
    <row r="257" ht="12.75">
      <c r="D257" s="11"/>
    </row>
    <row r="258" ht="12.75">
      <c r="D258" s="11"/>
    </row>
    <row r="259" ht="12.75">
      <c r="D259" s="11"/>
    </row>
    <row r="260" ht="12.75">
      <c r="D260" s="11"/>
    </row>
    <row r="261" ht="12.75">
      <c r="D261" s="11"/>
    </row>
    <row r="262" ht="12.75">
      <c r="D262" s="11"/>
    </row>
    <row r="263" ht="12.75">
      <c r="D263" s="11"/>
    </row>
    <row r="264" ht="12.75">
      <c r="D264" s="11"/>
    </row>
    <row r="265" ht="12.75">
      <c r="D265" s="11"/>
    </row>
    <row r="266" ht="12.75">
      <c r="D266" s="11"/>
    </row>
    <row r="267" ht="12.75">
      <c r="D267" s="11"/>
    </row>
    <row r="268" ht="12.75">
      <c r="D268" s="11"/>
    </row>
    <row r="269" ht="12.75">
      <c r="D269" s="11"/>
    </row>
    <row r="270" ht="12.75">
      <c r="D270" s="11"/>
    </row>
    <row r="271" ht="12.75">
      <c r="D271" s="11"/>
    </row>
    <row r="272" ht="12.75">
      <c r="D272" s="11"/>
    </row>
    <row r="273" ht="12.75">
      <c r="D273" s="11"/>
    </row>
    <row r="274" ht="12.75">
      <c r="D274" s="11"/>
    </row>
    <row r="275" ht="12.75">
      <c r="D275" s="11"/>
    </row>
    <row r="276" ht="12.75">
      <c r="D276" s="11"/>
    </row>
    <row r="277" ht="12.75">
      <c r="D277" s="11"/>
    </row>
    <row r="278" ht="12.75">
      <c r="D278" s="11"/>
    </row>
    <row r="279" ht="12.75">
      <c r="D279" s="11"/>
    </row>
    <row r="280" ht="12.75">
      <c r="D280" s="11"/>
    </row>
    <row r="281" ht="12.75">
      <c r="D281" s="11"/>
    </row>
    <row r="282" ht="12.75">
      <c r="D282" s="11"/>
    </row>
    <row r="283" ht="12.75">
      <c r="D283" s="11"/>
    </row>
    <row r="284" ht="12.75">
      <c r="D284" s="11"/>
    </row>
    <row r="285" ht="12.75">
      <c r="D285" s="11"/>
    </row>
    <row r="286" ht="12.75">
      <c r="D286" s="11"/>
    </row>
    <row r="287" ht="12.75">
      <c r="D287" s="11"/>
    </row>
    <row r="288" ht="12.75">
      <c r="D288" s="11"/>
    </row>
    <row r="289" ht="12.75">
      <c r="D289" s="11"/>
    </row>
    <row r="290" ht="12.75">
      <c r="D290" s="11"/>
    </row>
    <row r="291" ht="12.75">
      <c r="D291" s="11"/>
    </row>
    <row r="292" ht="12.75">
      <c r="D292" s="11"/>
    </row>
    <row r="293" ht="12.75">
      <c r="D293" s="11"/>
    </row>
    <row r="294" ht="12.75">
      <c r="D294" s="11"/>
    </row>
    <row r="295" ht="12.75">
      <c r="D295" s="11"/>
    </row>
    <row r="296" ht="12.75">
      <c r="D296" s="11"/>
    </row>
    <row r="297" ht="12.75">
      <c r="D297" s="11"/>
    </row>
    <row r="298" ht="12.75">
      <c r="D298" s="11"/>
    </row>
    <row r="299" ht="12.75">
      <c r="D299" s="11"/>
    </row>
    <row r="300" ht="12.75">
      <c r="D300" s="11"/>
    </row>
    <row r="301" ht="12.75">
      <c r="D301" s="11"/>
    </row>
    <row r="302" ht="12.75">
      <c r="D302" s="11"/>
    </row>
    <row r="303" ht="12.75">
      <c r="D303" s="11"/>
    </row>
    <row r="304" ht="12.75">
      <c r="D304" s="11"/>
    </row>
    <row r="305" ht="12.75">
      <c r="D305" s="11"/>
    </row>
    <row r="306" ht="12.75">
      <c r="D306" s="11"/>
    </row>
    <row r="307" ht="12.75">
      <c r="D307" s="11"/>
    </row>
    <row r="308" ht="12.75">
      <c r="D308" s="11"/>
    </row>
    <row r="309" ht="12.75">
      <c r="D309" s="11"/>
    </row>
    <row r="310" ht="12.75">
      <c r="D310" s="11"/>
    </row>
    <row r="311" ht="12.75">
      <c r="D311" s="11"/>
    </row>
    <row r="312" ht="12.75">
      <c r="D312" s="11"/>
    </row>
    <row r="313" ht="12.75">
      <c r="D313" s="11"/>
    </row>
    <row r="314" ht="12.75">
      <c r="D314" s="11"/>
    </row>
    <row r="315" ht="12.75">
      <c r="D315" s="11"/>
    </row>
    <row r="316" ht="12.75">
      <c r="D316" s="11"/>
    </row>
    <row r="317" ht="12.75">
      <c r="D317" s="11"/>
    </row>
    <row r="318" ht="12.75">
      <c r="D318" s="11"/>
    </row>
    <row r="319" ht="12.75">
      <c r="D319" s="11"/>
    </row>
    <row r="320" ht="12.75">
      <c r="D320" s="11"/>
    </row>
    <row r="321" ht="12.75">
      <c r="D321" s="11"/>
    </row>
    <row r="322" ht="12.75">
      <c r="D322" s="11"/>
    </row>
    <row r="323" ht="12.75">
      <c r="D323" s="11"/>
    </row>
    <row r="324" ht="12.75">
      <c r="D324" s="11"/>
    </row>
    <row r="325" ht="12.75">
      <c r="D325" s="11"/>
    </row>
    <row r="326" ht="12.75">
      <c r="D326" s="11"/>
    </row>
    <row r="327" ht="12.75">
      <c r="D327" s="11"/>
    </row>
    <row r="328" ht="12.75">
      <c r="D328" s="11"/>
    </row>
    <row r="329" ht="12.75">
      <c r="D329" s="11"/>
    </row>
    <row r="330" ht="12.75">
      <c r="D330" s="11"/>
    </row>
    <row r="331" ht="12.75">
      <c r="D331" s="11"/>
    </row>
    <row r="332" ht="12.75">
      <c r="D332" s="11"/>
    </row>
    <row r="333" ht="12.75">
      <c r="D333" s="11"/>
    </row>
    <row r="334" ht="12.75">
      <c r="D334" s="11"/>
    </row>
    <row r="335" ht="12.75">
      <c r="D335" s="11"/>
    </row>
    <row r="336" ht="12.75">
      <c r="D336" s="11"/>
    </row>
    <row r="337" ht="12.75">
      <c r="D337" s="11"/>
    </row>
    <row r="338" ht="12.75">
      <c r="D338" s="11"/>
    </row>
    <row r="339" ht="12.75">
      <c r="D339" s="11"/>
    </row>
    <row r="340" ht="12.75">
      <c r="D340" s="11"/>
    </row>
    <row r="341" ht="12.75">
      <c r="D341" s="11"/>
    </row>
    <row r="342" ht="12.75">
      <c r="D342" s="11"/>
    </row>
    <row r="343" ht="12.75">
      <c r="D343" s="11"/>
    </row>
    <row r="344" ht="12.75">
      <c r="D344" s="11"/>
    </row>
    <row r="345" ht="12.75">
      <c r="D345" s="11"/>
    </row>
    <row r="346" ht="12.75">
      <c r="D346" s="11"/>
    </row>
    <row r="347" ht="12.75">
      <c r="D347" s="11"/>
    </row>
    <row r="348" ht="12.75">
      <c r="D348" s="11"/>
    </row>
    <row r="349" ht="12.75">
      <c r="D349" s="11"/>
    </row>
    <row r="350" ht="12.75">
      <c r="D350" s="11"/>
    </row>
    <row r="351" ht="12.75">
      <c r="D351" s="11"/>
    </row>
    <row r="352" ht="12.75">
      <c r="D352" s="11"/>
    </row>
    <row r="353" ht="12.75">
      <c r="D353" s="11"/>
    </row>
    <row r="354" ht="12.75">
      <c r="D354" s="11"/>
    </row>
    <row r="355" ht="12.75">
      <c r="D355" s="11"/>
    </row>
    <row r="356" ht="12.75">
      <c r="D356" s="11"/>
    </row>
    <row r="357" ht="12.75">
      <c r="D357" s="11"/>
    </row>
    <row r="358" ht="12.75">
      <c r="D358" s="11"/>
    </row>
    <row r="359" ht="12.75">
      <c r="D359" s="11"/>
    </row>
    <row r="360" ht="12.75">
      <c r="D360" s="11"/>
    </row>
    <row r="361" ht="12.75">
      <c r="D361" s="11"/>
    </row>
    <row r="362" ht="12.75">
      <c r="D362" s="11"/>
    </row>
    <row r="363" ht="12.75">
      <c r="D363" s="11"/>
    </row>
    <row r="364" ht="12.75">
      <c r="D364" s="11"/>
    </row>
    <row r="365" ht="12.75">
      <c r="D365" s="11"/>
    </row>
    <row r="366" ht="12.75">
      <c r="D366" s="11"/>
    </row>
    <row r="367" ht="12.75">
      <c r="D367" s="11"/>
    </row>
    <row r="368" ht="12.75">
      <c r="D368" s="11"/>
    </row>
    <row r="369" ht="12.75">
      <c r="D369" s="11"/>
    </row>
    <row r="370" ht="12.75">
      <c r="D370" s="11"/>
    </row>
    <row r="371" ht="12.75">
      <c r="D371" s="11"/>
    </row>
    <row r="372" ht="12.75">
      <c r="D372" s="11"/>
    </row>
    <row r="373" ht="12.75">
      <c r="D373" s="11"/>
    </row>
    <row r="374" ht="12.75">
      <c r="D374" s="11"/>
    </row>
    <row r="375" ht="12.75">
      <c r="D375" s="11"/>
    </row>
    <row r="376" ht="12.75">
      <c r="D376" s="11"/>
    </row>
    <row r="377" ht="12.75">
      <c r="D377" s="11"/>
    </row>
    <row r="378" ht="12.75">
      <c r="D378" s="11"/>
    </row>
    <row r="379" ht="12.75">
      <c r="D379" s="11"/>
    </row>
    <row r="380" ht="12.75">
      <c r="D380" s="11"/>
    </row>
    <row r="381" ht="12.75">
      <c r="D381" s="11"/>
    </row>
    <row r="382" ht="12.75">
      <c r="D382" s="11"/>
    </row>
    <row r="383" ht="12.75">
      <c r="D383" s="11"/>
    </row>
    <row r="384" ht="12.75">
      <c r="D384" s="11"/>
    </row>
    <row r="385" ht="12.75">
      <c r="D385" s="11"/>
    </row>
    <row r="386" ht="12.75">
      <c r="D386" s="11"/>
    </row>
    <row r="387" ht="12.75">
      <c r="D387" s="11"/>
    </row>
    <row r="388" ht="12.75">
      <c r="D388" s="11"/>
    </row>
    <row r="389" ht="12.75">
      <c r="D389" s="11"/>
    </row>
    <row r="390" ht="12.75">
      <c r="D390" s="11"/>
    </row>
    <row r="391" ht="12.75">
      <c r="D391" s="11"/>
    </row>
    <row r="392" ht="12.75">
      <c r="D392" s="11"/>
    </row>
    <row r="393" ht="12.75">
      <c r="D393" s="11"/>
    </row>
    <row r="394" ht="12.75">
      <c r="D394" s="11"/>
    </row>
    <row r="395" ht="12.75">
      <c r="D395" s="11"/>
    </row>
    <row r="396" ht="12.75">
      <c r="D396" s="11"/>
    </row>
    <row r="397" ht="12.75">
      <c r="D397" s="11"/>
    </row>
    <row r="398" ht="12.75">
      <c r="D398" s="11"/>
    </row>
    <row r="399" ht="12.75">
      <c r="D399" s="11"/>
    </row>
    <row r="400" ht="12.75">
      <c r="D400" s="11"/>
    </row>
    <row r="401" ht="12.75">
      <c r="D401" s="11"/>
    </row>
    <row r="402" ht="12.75">
      <c r="D402" s="11"/>
    </row>
    <row r="403" ht="12.75">
      <c r="D403" s="11"/>
    </row>
    <row r="404" ht="12.75">
      <c r="D404" s="11"/>
    </row>
    <row r="405" ht="12.75">
      <c r="D405" s="11"/>
    </row>
    <row r="406" ht="12.75">
      <c r="D406" s="11"/>
    </row>
    <row r="407" ht="12.75">
      <c r="D407" s="11"/>
    </row>
    <row r="408" ht="12.75">
      <c r="D408" s="11"/>
    </row>
    <row r="409" ht="12.75">
      <c r="D409" s="11"/>
    </row>
    <row r="410" ht="12.75">
      <c r="D410" s="11"/>
    </row>
    <row r="411" ht="12.75">
      <c r="D411" s="11"/>
    </row>
    <row r="412" ht="12.75">
      <c r="D412" s="11"/>
    </row>
    <row r="413" ht="12.75">
      <c r="D413" s="11"/>
    </row>
    <row r="414" ht="12.75">
      <c r="D414" s="11"/>
    </row>
    <row r="415" ht="12.75">
      <c r="D415" s="11"/>
    </row>
    <row r="416" ht="12.75">
      <c r="D416" s="11"/>
    </row>
    <row r="417" ht="12.75">
      <c r="D417" s="11"/>
    </row>
    <row r="418" ht="12.75">
      <c r="D418" s="11"/>
    </row>
    <row r="419" ht="12.75">
      <c r="D419" s="11"/>
    </row>
    <row r="420" ht="12.75">
      <c r="D420" s="11"/>
    </row>
    <row r="421" ht="12.75">
      <c r="D421" s="11"/>
    </row>
    <row r="422" ht="12.75">
      <c r="D422" s="11"/>
    </row>
    <row r="423" ht="12.75">
      <c r="D423" s="11"/>
    </row>
    <row r="424" ht="12.75">
      <c r="D424" s="11"/>
    </row>
    <row r="425" ht="12.75">
      <c r="D425" s="11"/>
    </row>
    <row r="426" ht="12.75">
      <c r="D426" s="11"/>
    </row>
    <row r="427" ht="12.75">
      <c r="D427" s="11"/>
    </row>
    <row r="428" ht="12.75">
      <c r="D428" s="11"/>
    </row>
    <row r="429" ht="12.75">
      <c r="D429" s="11"/>
    </row>
    <row r="430" ht="12.75">
      <c r="D430" s="11"/>
    </row>
    <row r="431" ht="12.75">
      <c r="D431" s="11"/>
    </row>
    <row r="432" ht="12.75">
      <c r="D432" s="11"/>
    </row>
    <row r="433" ht="12.75">
      <c r="D433" s="11"/>
    </row>
    <row r="434" ht="12.75">
      <c r="D434" s="11"/>
    </row>
    <row r="435" ht="12.75">
      <c r="D435" s="11"/>
    </row>
    <row r="436" ht="12.75">
      <c r="D436" s="11"/>
    </row>
    <row r="437" ht="12.75">
      <c r="D437" s="11"/>
    </row>
    <row r="438" ht="12.75">
      <c r="D438" s="11"/>
    </row>
    <row r="439" ht="12.75">
      <c r="D439" s="11"/>
    </row>
    <row r="440" ht="12.75">
      <c r="D440" s="11"/>
    </row>
    <row r="441" ht="12.75">
      <c r="D441" s="11"/>
    </row>
    <row r="442" ht="12.75">
      <c r="D442" s="11"/>
    </row>
    <row r="443" ht="12.75">
      <c r="D443" s="11"/>
    </row>
    <row r="444" ht="12.75">
      <c r="D444" s="11"/>
    </row>
    <row r="445" ht="12.75">
      <c r="D445" s="11"/>
    </row>
    <row r="446" ht="12.75">
      <c r="D446" s="11"/>
    </row>
    <row r="447" ht="12.75">
      <c r="D447" s="11"/>
    </row>
    <row r="448" ht="12.75">
      <c r="D448" s="11"/>
    </row>
    <row r="449" ht="12.75">
      <c r="D449" s="11"/>
    </row>
    <row r="450" ht="12.75">
      <c r="D450" s="11"/>
    </row>
    <row r="451" ht="12.75">
      <c r="D451" s="11"/>
    </row>
    <row r="452" ht="12.75">
      <c r="D452" s="11"/>
    </row>
    <row r="453" ht="12.75">
      <c r="D453" s="11"/>
    </row>
    <row r="454" ht="12.75">
      <c r="D454" s="11"/>
    </row>
    <row r="455" ht="12.75">
      <c r="D455" s="11"/>
    </row>
    <row r="456" ht="12.75">
      <c r="D456" s="11"/>
    </row>
    <row r="457" ht="12.75">
      <c r="D457" s="11"/>
    </row>
    <row r="458" ht="12.75">
      <c r="D458" s="11"/>
    </row>
    <row r="459" ht="12.75">
      <c r="D459" s="11"/>
    </row>
    <row r="460" ht="12.75">
      <c r="D460" s="11"/>
    </row>
    <row r="461" ht="12.75">
      <c r="D461" s="11"/>
    </row>
    <row r="462" ht="12.75">
      <c r="D462" s="11"/>
    </row>
    <row r="463" ht="12.75">
      <c r="D463" s="11"/>
    </row>
    <row r="464" ht="12.75">
      <c r="D464" s="11"/>
    </row>
    <row r="465" ht="12.75">
      <c r="D465" s="11"/>
    </row>
    <row r="466" ht="12.75">
      <c r="D466" s="11"/>
    </row>
    <row r="467" ht="12.75">
      <c r="D467" s="11"/>
    </row>
    <row r="468" ht="12.75">
      <c r="D468" s="11"/>
    </row>
    <row r="469" ht="12.75">
      <c r="D469" s="11"/>
    </row>
    <row r="470" ht="12.75">
      <c r="D470" s="11"/>
    </row>
    <row r="471" ht="12.75">
      <c r="D471" s="11"/>
    </row>
    <row r="472" ht="12.75">
      <c r="D472" s="11"/>
    </row>
    <row r="473" ht="12.75">
      <c r="D473" s="11"/>
    </row>
    <row r="474" ht="12.75">
      <c r="D474" s="11"/>
    </row>
    <row r="475" ht="12.75">
      <c r="D475" s="11"/>
    </row>
    <row r="476" ht="12.75">
      <c r="D476" s="11"/>
    </row>
    <row r="477" ht="12.75">
      <c r="D477" s="11"/>
    </row>
    <row r="478" ht="12.75">
      <c r="D478" s="11"/>
    </row>
    <row r="479" ht="12.75">
      <c r="D479" s="11"/>
    </row>
    <row r="480" ht="12.75">
      <c r="D480" s="11"/>
    </row>
    <row r="481" ht="12.75">
      <c r="D481" s="11"/>
    </row>
    <row r="482" ht="12.75">
      <c r="D482" s="11"/>
    </row>
    <row r="483" ht="12.75">
      <c r="D483" s="11"/>
    </row>
    <row r="484" ht="12.75">
      <c r="D484" s="11"/>
    </row>
    <row r="485" ht="12.75">
      <c r="D485" s="11"/>
    </row>
    <row r="486" ht="12.75">
      <c r="D486" s="11"/>
    </row>
    <row r="487" ht="12.75">
      <c r="D487" s="11"/>
    </row>
    <row r="488" ht="12.75">
      <c r="D488" s="11"/>
    </row>
    <row r="489" ht="12.75">
      <c r="D489" s="11"/>
    </row>
    <row r="490" ht="12.75">
      <c r="D490" s="11"/>
    </row>
    <row r="491" ht="12.75">
      <c r="D491" s="11"/>
    </row>
    <row r="492" ht="12.75">
      <c r="D492" s="11"/>
    </row>
    <row r="493" ht="12.75">
      <c r="D493" s="11"/>
    </row>
    <row r="494" ht="12.75">
      <c r="D494" s="11"/>
    </row>
    <row r="495" ht="12.75">
      <c r="D495" s="11"/>
    </row>
    <row r="496" ht="12.75">
      <c r="D496" s="11"/>
    </row>
    <row r="497" ht="12.75">
      <c r="D497" s="11"/>
    </row>
    <row r="498" ht="12.75">
      <c r="D498" s="11"/>
    </row>
    <row r="499" ht="12.75">
      <c r="D499" s="11"/>
    </row>
    <row r="500" ht="12.75">
      <c r="D500" s="11"/>
    </row>
    <row r="501" ht="12.75">
      <c r="D501" s="11"/>
    </row>
    <row r="502" ht="12.75">
      <c r="D502" s="11"/>
    </row>
    <row r="503" ht="12.75">
      <c r="D503" s="11"/>
    </row>
    <row r="504" ht="12.75">
      <c r="D504" s="11"/>
    </row>
    <row r="505" ht="12.75">
      <c r="D505" s="11"/>
    </row>
    <row r="506" ht="12.75">
      <c r="D506" s="11"/>
    </row>
    <row r="507" ht="12.75">
      <c r="D507" s="11"/>
    </row>
    <row r="508" ht="12.75">
      <c r="D508" s="11"/>
    </row>
    <row r="509" ht="12.75">
      <c r="D509" s="11"/>
    </row>
    <row r="510" ht="12.75">
      <c r="D510" s="11"/>
    </row>
    <row r="511" ht="12.75">
      <c r="D511" s="11"/>
    </row>
    <row r="512" ht="12.75">
      <c r="D512" s="11"/>
    </row>
    <row r="513" ht="12.75">
      <c r="D513" s="11"/>
    </row>
    <row r="514" ht="12.75">
      <c r="D514" s="11"/>
    </row>
    <row r="515" ht="12.75">
      <c r="D515" s="11"/>
    </row>
    <row r="516" ht="12.75">
      <c r="D516" s="11"/>
    </row>
    <row r="517" ht="12.75">
      <c r="D517" s="11"/>
    </row>
    <row r="518" ht="12.75">
      <c r="D518" s="11"/>
    </row>
    <row r="519" ht="12.75">
      <c r="D519" s="11"/>
    </row>
    <row r="520" ht="12.75">
      <c r="D520" s="11"/>
    </row>
    <row r="521" ht="12.75">
      <c r="D521" s="11"/>
    </row>
    <row r="522" ht="12.75">
      <c r="D522" s="11"/>
    </row>
    <row r="523" ht="12.75">
      <c r="D523" s="11"/>
    </row>
    <row r="524" ht="12.75">
      <c r="D524" s="11"/>
    </row>
    <row r="525" ht="12.75">
      <c r="D525" s="11"/>
    </row>
    <row r="526" ht="12.75">
      <c r="D526" s="11"/>
    </row>
    <row r="527" ht="12.75">
      <c r="D527" s="11"/>
    </row>
    <row r="528" ht="12.75">
      <c r="D528" s="11"/>
    </row>
    <row r="529" ht="12.75">
      <c r="D529" s="11"/>
    </row>
    <row r="530" ht="12.75">
      <c r="D530" s="11"/>
    </row>
    <row r="531" ht="12.75">
      <c r="D531" s="11"/>
    </row>
    <row r="532" ht="12.75">
      <c r="D532" s="11"/>
    </row>
    <row r="533" ht="12.75">
      <c r="D533" s="11"/>
    </row>
    <row r="534" ht="12.75">
      <c r="D534" s="11"/>
    </row>
    <row r="535" ht="12.75">
      <c r="D535" s="11"/>
    </row>
    <row r="536" ht="12.75">
      <c r="D536" s="11"/>
    </row>
    <row r="537" ht="12.75">
      <c r="D537" s="11"/>
    </row>
    <row r="538" ht="12.75">
      <c r="D538" s="11"/>
    </row>
    <row r="539" ht="12.75">
      <c r="D539" s="11"/>
    </row>
    <row r="540" ht="12.75">
      <c r="D540" s="11"/>
    </row>
    <row r="541" ht="12.75">
      <c r="D541" s="11"/>
    </row>
    <row r="542" ht="12.75">
      <c r="D542" s="11"/>
    </row>
    <row r="543" ht="12.75">
      <c r="D543" s="11"/>
    </row>
    <row r="544" ht="12.75">
      <c r="D544" s="11"/>
    </row>
    <row r="545" ht="12.75">
      <c r="D545" s="11"/>
    </row>
    <row r="546" ht="12.75">
      <c r="D546" s="11"/>
    </row>
    <row r="547" ht="12.75">
      <c r="D547" s="11"/>
    </row>
    <row r="548" ht="12.75">
      <c r="D548" s="11"/>
    </row>
    <row r="549" ht="12.75">
      <c r="D549" s="11"/>
    </row>
    <row r="550" ht="12.75">
      <c r="D550" s="11"/>
    </row>
    <row r="551" ht="12.75">
      <c r="D551" s="11"/>
    </row>
    <row r="552" ht="12.75">
      <c r="D552" s="11"/>
    </row>
    <row r="553" ht="12.75">
      <c r="D553" s="11"/>
    </row>
    <row r="554" ht="12.75">
      <c r="D554" s="11"/>
    </row>
    <row r="555" ht="12.75">
      <c r="D555" s="11"/>
    </row>
    <row r="556" ht="12.75">
      <c r="D556" s="11"/>
    </row>
    <row r="557" ht="12.75">
      <c r="D557" s="11"/>
    </row>
    <row r="558" ht="12.75">
      <c r="D558" s="11"/>
    </row>
    <row r="559" ht="12.75">
      <c r="D559" s="11"/>
    </row>
    <row r="560" ht="12.75">
      <c r="D560" s="11"/>
    </row>
    <row r="561" ht="12.75">
      <c r="D561" s="11"/>
    </row>
    <row r="562" ht="12.75">
      <c r="D562" s="11"/>
    </row>
    <row r="563" ht="12.75">
      <c r="D563" s="11"/>
    </row>
    <row r="564" ht="12.75">
      <c r="D564" s="11"/>
    </row>
    <row r="565" ht="12.75">
      <c r="D565" s="11"/>
    </row>
    <row r="566" ht="12.75">
      <c r="D566" s="11"/>
    </row>
    <row r="567" ht="12.75">
      <c r="D567" s="11"/>
    </row>
    <row r="568" ht="12.75">
      <c r="D568" s="11"/>
    </row>
    <row r="569" ht="12.75">
      <c r="D569" s="11"/>
    </row>
    <row r="570" ht="12.75">
      <c r="D570" s="11"/>
    </row>
    <row r="571" ht="12.75">
      <c r="D571" s="11"/>
    </row>
    <row r="572" ht="12.75">
      <c r="D572" s="11"/>
    </row>
    <row r="573" ht="12.75">
      <c r="D573" s="11"/>
    </row>
    <row r="574" ht="12.75">
      <c r="D574" s="11"/>
    </row>
    <row r="575" ht="12.75">
      <c r="D575" s="11"/>
    </row>
    <row r="576" ht="12.75">
      <c r="D576" s="11"/>
    </row>
    <row r="577" ht="12.75">
      <c r="D577" s="11"/>
    </row>
    <row r="578" ht="12.75">
      <c r="D578" s="11"/>
    </row>
    <row r="579" ht="12.75">
      <c r="D579" s="11"/>
    </row>
    <row r="580" ht="12.75">
      <c r="D580" s="11"/>
    </row>
    <row r="581" ht="12.75">
      <c r="D581" s="11"/>
    </row>
    <row r="582" ht="12.75">
      <c r="D582" s="11"/>
    </row>
    <row r="583" ht="12.75">
      <c r="D583" s="11"/>
    </row>
    <row r="584" ht="12.75">
      <c r="D584" s="11"/>
    </row>
    <row r="585" ht="12.75">
      <c r="D585" s="11"/>
    </row>
    <row r="586" ht="12.75">
      <c r="D586" s="11"/>
    </row>
    <row r="587" ht="12.75">
      <c r="D587" s="11"/>
    </row>
    <row r="588" ht="12.75">
      <c r="D588" s="11"/>
    </row>
    <row r="589" ht="12.75">
      <c r="D589" s="11"/>
    </row>
    <row r="590" ht="12.75">
      <c r="D590" s="11"/>
    </row>
    <row r="591" ht="12.75">
      <c r="D591" s="11"/>
    </row>
    <row r="592" ht="12.75">
      <c r="D592" s="11"/>
    </row>
    <row r="593" ht="12.75">
      <c r="D593" s="11"/>
    </row>
    <row r="594" ht="12.75">
      <c r="D594" s="11"/>
    </row>
    <row r="595" ht="12.75">
      <c r="D595" s="11"/>
    </row>
    <row r="596" ht="12.75">
      <c r="D596" s="11"/>
    </row>
    <row r="597" ht="12.75">
      <c r="D597" s="11"/>
    </row>
    <row r="598" ht="12.75">
      <c r="D598" s="11"/>
    </row>
    <row r="599" ht="12.75">
      <c r="D599" s="11"/>
    </row>
    <row r="600" ht="12.75">
      <c r="D600" s="11"/>
    </row>
    <row r="601" ht="12.75">
      <c r="D601" s="11"/>
    </row>
    <row r="602" ht="12.75">
      <c r="D602" s="11"/>
    </row>
    <row r="603" ht="12.75">
      <c r="D603" s="11"/>
    </row>
    <row r="604" ht="12.75">
      <c r="D604" s="11"/>
    </row>
    <row r="605" ht="12.75">
      <c r="D605" s="11"/>
    </row>
    <row r="606" ht="12.75">
      <c r="D606" s="11"/>
    </row>
    <row r="607" ht="12.75">
      <c r="D607" s="11"/>
    </row>
    <row r="608" ht="12.75">
      <c r="D608" s="11"/>
    </row>
    <row r="609" ht="12.75">
      <c r="D609" s="11"/>
    </row>
    <row r="610" ht="12.75">
      <c r="D610" s="11"/>
    </row>
    <row r="611" ht="12.75">
      <c r="D611" s="11"/>
    </row>
    <row r="612" ht="12.75">
      <c r="D612" s="11"/>
    </row>
    <row r="613" ht="12.75">
      <c r="D613" s="11"/>
    </row>
    <row r="614" ht="12.75">
      <c r="D614" s="11"/>
    </row>
    <row r="615" ht="12.75">
      <c r="D615" s="11"/>
    </row>
    <row r="616" ht="12.75">
      <c r="D616" s="11"/>
    </row>
    <row r="617" ht="12.75">
      <c r="D617" s="11"/>
    </row>
    <row r="618" ht="12.75">
      <c r="D618" s="11"/>
    </row>
    <row r="619" ht="12.75">
      <c r="D619" s="11"/>
    </row>
    <row r="620" ht="12.75">
      <c r="D620" s="11"/>
    </row>
    <row r="621" ht="12.75">
      <c r="D621" s="11"/>
    </row>
    <row r="622" ht="12.75">
      <c r="D622" s="11"/>
    </row>
    <row r="623" ht="12.75">
      <c r="D623" s="11"/>
    </row>
    <row r="624" ht="12.75">
      <c r="D624" s="11"/>
    </row>
    <row r="625" ht="12.75">
      <c r="D625" s="11"/>
    </row>
    <row r="626" ht="12.75">
      <c r="D626" s="11"/>
    </row>
    <row r="627" ht="12.75">
      <c r="D627" s="11"/>
    </row>
    <row r="628" ht="12.75">
      <c r="D628" s="11"/>
    </row>
    <row r="629" ht="12.75">
      <c r="D629" s="11"/>
    </row>
    <row r="630" ht="12.75">
      <c r="D630" s="11"/>
    </row>
    <row r="631" ht="12.75">
      <c r="D631" s="11"/>
    </row>
    <row r="632" ht="12.75">
      <c r="D632" s="11"/>
    </row>
    <row r="633" ht="12.75">
      <c r="D633" s="11"/>
    </row>
    <row r="634" ht="12.75">
      <c r="D634" s="11"/>
    </row>
    <row r="635" ht="12.75">
      <c r="D635" s="11"/>
    </row>
    <row r="636" ht="12.75">
      <c r="D636" s="11"/>
    </row>
    <row r="637" ht="12.75">
      <c r="D637" s="11"/>
    </row>
    <row r="638" ht="12.75">
      <c r="D638" s="11"/>
    </row>
    <row r="639" ht="12.75">
      <c r="D639" s="11"/>
    </row>
    <row r="640" ht="12.75">
      <c r="D640" s="11"/>
    </row>
    <row r="641" ht="12.75">
      <c r="D641" s="11"/>
    </row>
    <row r="642" ht="12.75">
      <c r="D642" s="11"/>
    </row>
    <row r="643" ht="12.75">
      <c r="D643" s="11"/>
    </row>
    <row r="644" ht="12.75">
      <c r="D644" s="11"/>
    </row>
    <row r="645" ht="12.75">
      <c r="D645" s="11"/>
    </row>
    <row r="646" ht="12.75">
      <c r="D646" s="11"/>
    </row>
    <row r="647" ht="12.75">
      <c r="D647" s="11"/>
    </row>
    <row r="648" ht="12.75">
      <c r="D648" s="11"/>
    </row>
    <row r="649" ht="12.75">
      <c r="D649" s="11"/>
    </row>
    <row r="650" ht="12.75">
      <c r="D650" s="11"/>
    </row>
    <row r="651" ht="12.75">
      <c r="D651" s="11"/>
    </row>
    <row r="652" ht="12.75">
      <c r="D652" s="11"/>
    </row>
    <row r="653" ht="12.75">
      <c r="D653" s="11"/>
    </row>
    <row r="654" ht="12.75">
      <c r="D654" s="11"/>
    </row>
    <row r="655" ht="12.75">
      <c r="D655" s="11"/>
    </row>
    <row r="656" ht="12.75">
      <c r="D656" s="11"/>
    </row>
    <row r="657" ht="12.75">
      <c r="D657" s="11"/>
    </row>
    <row r="658" ht="12.75">
      <c r="D658" s="11"/>
    </row>
    <row r="659" ht="12.75">
      <c r="D659" s="11"/>
    </row>
    <row r="660" ht="12.75">
      <c r="D660" s="11"/>
    </row>
    <row r="661" ht="12.75">
      <c r="D661" s="11"/>
    </row>
    <row r="662" ht="12.75">
      <c r="D662" s="11"/>
    </row>
    <row r="663" ht="12.75">
      <c r="D663" s="11"/>
    </row>
    <row r="664" ht="12.75">
      <c r="D664" s="11"/>
    </row>
    <row r="665" ht="12.75">
      <c r="D665" s="11"/>
    </row>
    <row r="666" ht="12.75">
      <c r="D666" s="11"/>
    </row>
    <row r="667" ht="12.75">
      <c r="D667" s="11"/>
    </row>
    <row r="668" ht="12.75">
      <c r="D668" s="11"/>
    </row>
    <row r="669" ht="12.75">
      <c r="D669" s="11"/>
    </row>
    <row r="670" ht="12.75">
      <c r="D670" s="11"/>
    </row>
    <row r="671" ht="12.75">
      <c r="D671" s="11"/>
    </row>
    <row r="672" ht="12.75">
      <c r="D672" s="11"/>
    </row>
    <row r="673" ht="12.75">
      <c r="D673" s="11"/>
    </row>
    <row r="674" ht="12.75">
      <c r="D674" s="11"/>
    </row>
    <row r="675" ht="12.75">
      <c r="D675" s="11"/>
    </row>
    <row r="676" ht="12.75">
      <c r="D676" s="11"/>
    </row>
    <row r="677" ht="12.75">
      <c r="D677" s="11"/>
    </row>
    <row r="678" ht="12.75">
      <c r="D678" s="11"/>
    </row>
    <row r="679" ht="12.75">
      <c r="D679" s="11"/>
    </row>
    <row r="680" ht="12.75">
      <c r="D680" s="11"/>
    </row>
    <row r="681" ht="12.75">
      <c r="D681" s="11"/>
    </row>
    <row r="682" ht="12.75">
      <c r="D682" s="11"/>
    </row>
    <row r="683" ht="12.75">
      <c r="D683" s="11"/>
    </row>
    <row r="684" ht="12.75">
      <c r="D684" s="11"/>
    </row>
    <row r="685" ht="12.75">
      <c r="D685" s="11"/>
    </row>
    <row r="686" ht="12.75">
      <c r="D686" s="11"/>
    </row>
    <row r="687" ht="12.75">
      <c r="D687" s="11"/>
    </row>
    <row r="688" ht="12.75">
      <c r="D688" s="11"/>
    </row>
    <row r="689" ht="12.75">
      <c r="D689" s="11"/>
    </row>
    <row r="690" ht="12.75">
      <c r="D690" s="11"/>
    </row>
    <row r="691" ht="12.75">
      <c r="D691" s="11"/>
    </row>
    <row r="692" ht="12.75">
      <c r="D692" s="11"/>
    </row>
    <row r="693" ht="12.75">
      <c r="D693" s="11"/>
    </row>
    <row r="694" ht="12.75">
      <c r="D694" s="11"/>
    </row>
    <row r="695" ht="12.75">
      <c r="D695" s="11"/>
    </row>
    <row r="696" ht="12.75">
      <c r="D696" s="11"/>
    </row>
    <row r="697" ht="12.75">
      <c r="D697" s="11"/>
    </row>
    <row r="698" ht="12.75">
      <c r="D698" s="11"/>
    </row>
    <row r="699" ht="12.75">
      <c r="D699" s="11"/>
    </row>
    <row r="700" ht="12.75">
      <c r="D700" s="11"/>
    </row>
    <row r="701" ht="12.75">
      <c r="D701" s="11"/>
    </row>
    <row r="702" ht="12.75">
      <c r="D702" s="11"/>
    </row>
    <row r="703" ht="12.75">
      <c r="D703" s="11"/>
    </row>
    <row r="704" ht="12.75">
      <c r="D704" s="11"/>
    </row>
    <row r="705" ht="12.75">
      <c r="D705" s="11"/>
    </row>
    <row r="706" ht="12.75">
      <c r="D706" s="11"/>
    </row>
    <row r="707" ht="12.75">
      <c r="D707" s="11"/>
    </row>
    <row r="708" ht="12.75">
      <c r="D708" s="11"/>
    </row>
    <row r="709" ht="12.75">
      <c r="D709" s="11"/>
    </row>
    <row r="710" ht="12.75">
      <c r="D710" s="11"/>
    </row>
    <row r="711" ht="12.75">
      <c r="D711" s="11"/>
    </row>
    <row r="712" ht="12.75">
      <c r="D712" s="11"/>
    </row>
    <row r="713" ht="12.75">
      <c r="D713" s="11"/>
    </row>
    <row r="714" ht="12.75">
      <c r="D714" s="11"/>
    </row>
    <row r="715" ht="12.75">
      <c r="D715" s="11"/>
    </row>
    <row r="716" ht="12.75">
      <c r="D716" s="11"/>
    </row>
    <row r="717" ht="12.75">
      <c r="D717" s="11"/>
    </row>
    <row r="718" ht="12.75">
      <c r="D718" s="11"/>
    </row>
    <row r="719" ht="12.75">
      <c r="D719" s="11"/>
    </row>
    <row r="720" ht="12.75">
      <c r="D720" s="11"/>
    </row>
    <row r="721" ht="12.75">
      <c r="D721" s="11"/>
    </row>
    <row r="722" ht="12.75">
      <c r="D722" s="11"/>
    </row>
    <row r="723" ht="12.75">
      <c r="D723" s="11"/>
    </row>
    <row r="724" ht="12.75">
      <c r="D724" s="11"/>
    </row>
    <row r="725" ht="12.75">
      <c r="D725" s="11"/>
    </row>
    <row r="726" ht="12.75">
      <c r="D726" s="11"/>
    </row>
    <row r="727" ht="12.75">
      <c r="D727" s="11"/>
    </row>
    <row r="728" ht="12.75">
      <c r="D728" s="11"/>
    </row>
    <row r="729" ht="12.75">
      <c r="D729" s="11"/>
    </row>
    <row r="730" ht="12.75">
      <c r="D730" s="11"/>
    </row>
    <row r="731" ht="12.75">
      <c r="D731" s="11"/>
    </row>
    <row r="732" ht="12.75">
      <c r="D732" s="11"/>
    </row>
    <row r="733" ht="12.75">
      <c r="D733" s="11"/>
    </row>
    <row r="734" ht="12.75">
      <c r="D734" s="11"/>
    </row>
    <row r="735" ht="12.75">
      <c r="D735" s="11"/>
    </row>
    <row r="736" ht="12.75">
      <c r="D736" s="11"/>
    </row>
    <row r="737" ht="12.75">
      <c r="D737" s="11"/>
    </row>
    <row r="738" ht="12.75">
      <c r="D738" s="11"/>
    </row>
    <row r="739" ht="12.75">
      <c r="D739" s="11"/>
    </row>
    <row r="740" ht="12.75">
      <c r="D740" s="11"/>
    </row>
    <row r="741" ht="12.75">
      <c r="D741" s="11"/>
    </row>
    <row r="742" ht="12.75">
      <c r="D742" s="11"/>
    </row>
    <row r="743" ht="12.75">
      <c r="D743" s="11"/>
    </row>
    <row r="744" ht="12.75">
      <c r="D744" s="11"/>
    </row>
    <row r="745" ht="12.75">
      <c r="D745" s="11"/>
    </row>
    <row r="746" ht="12.75">
      <c r="D746" s="11"/>
    </row>
    <row r="747" ht="12.75">
      <c r="D747" s="11"/>
    </row>
    <row r="748" ht="12.75">
      <c r="D748" s="11"/>
    </row>
    <row r="749" ht="12.75">
      <c r="D749" s="11"/>
    </row>
    <row r="750" ht="12.75">
      <c r="D750" s="11"/>
    </row>
    <row r="751" ht="12.75">
      <c r="D751" s="11"/>
    </row>
    <row r="752" ht="12.75">
      <c r="D752" s="11"/>
    </row>
    <row r="753" ht="12.75">
      <c r="D753" s="11"/>
    </row>
    <row r="754" ht="12.75">
      <c r="D754" s="11"/>
    </row>
    <row r="755" ht="12.75">
      <c r="D755" s="11"/>
    </row>
    <row r="756" ht="12.75">
      <c r="D756" s="11"/>
    </row>
    <row r="757" ht="12.75">
      <c r="D757" s="11"/>
    </row>
    <row r="758" ht="12.75">
      <c r="D758" s="11"/>
    </row>
    <row r="759" ht="12.75">
      <c r="D759" s="11"/>
    </row>
    <row r="760" ht="12.75">
      <c r="D760" s="11"/>
    </row>
    <row r="761" ht="12.75">
      <c r="D761" s="11"/>
    </row>
    <row r="762" ht="12.75">
      <c r="D762" s="11"/>
    </row>
    <row r="763" ht="12.75">
      <c r="D763" s="11"/>
    </row>
    <row r="764" ht="12.75">
      <c r="D764" s="11"/>
    </row>
    <row r="765" ht="12.75">
      <c r="D765" s="11"/>
    </row>
    <row r="766" ht="12.75">
      <c r="D766" s="11"/>
    </row>
    <row r="767" ht="12.75">
      <c r="D767" s="11"/>
    </row>
    <row r="768" ht="12.75">
      <c r="D768" s="11"/>
    </row>
    <row r="769" ht="12.75">
      <c r="D769" s="11"/>
    </row>
    <row r="770" ht="12.75">
      <c r="D770" s="11"/>
    </row>
    <row r="771" ht="12.75">
      <c r="D771" s="11"/>
    </row>
    <row r="772" ht="12.75">
      <c r="D772" s="11"/>
    </row>
    <row r="773" ht="12.75">
      <c r="D773" s="11"/>
    </row>
    <row r="774" ht="12.75">
      <c r="D774" s="11"/>
    </row>
    <row r="775" ht="12.75">
      <c r="D775" s="11"/>
    </row>
    <row r="776" ht="12.75">
      <c r="D776" s="11"/>
    </row>
    <row r="777" ht="12.75">
      <c r="D777" s="11"/>
    </row>
    <row r="778" ht="12.75">
      <c r="D778" s="11"/>
    </row>
    <row r="779" ht="12.75">
      <c r="D779" s="11"/>
    </row>
    <row r="780" ht="12.75">
      <c r="D780" s="11"/>
    </row>
    <row r="781" ht="12.75">
      <c r="D781" s="11"/>
    </row>
    <row r="782" ht="12.75">
      <c r="D782" s="11"/>
    </row>
    <row r="783" ht="12.75">
      <c r="D783" s="11"/>
    </row>
    <row r="784" ht="12.75">
      <c r="D784" s="11"/>
    </row>
    <row r="785" ht="12.75">
      <c r="D785" s="11"/>
    </row>
    <row r="786" ht="12.75">
      <c r="D786" s="11"/>
    </row>
    <row r="787" ht="12.75">
      <c r="D787" s="11"/>
    </row>
    <row r="788" ht="12.75">
      <c r="D788" s="11"/>
    </row>
    <row r="789" ht="12.75">
      <c r="D789" s="11"/>
    </row>
    <row r="790" ht="12.75">
      <c r="D790" s="11"/>
    </row>
    <row r="791" ht="12.75">
      <c r="D791" s="11"/>
    </row>
    <row r="792" ht="12.75">
      <c r="D792" s="11"/>
    </row>
    <row r="793" ht="12.75">
      <c r="D793" s="11"/>
    </row>
    <row r="794" ht="12.75">
      <c r="D794" s="11"/>
    </row>
    <row r="795" ht="12.75">
      <c r="D795" s="11"/>
    </row>
    <row r="796" ht="12.75">
      <c r="D796" s="11"/>
    </row>
    <row r="797" ht="12.75">
      <c r="D797" s="11"/>
    </row>
    <row r="798" ht="12.75">
      <c r="D798" s="11"/>
    </row>
    <row r="799" ht="12.75">
      <c r="D799" s="11"/>
    </row>
    <row r="800" ht="12.75">
      <c r="D800" s="11"/>
    </row>
    <row r="801" ht="12.75">
      <c r="D801" s="11"/>
    </row>
    <row r="802" ht="12.75">
      <c r="D802" s="11"/>
    </row>
    <row r="803" ht="12.75">
      <c r="D803" s="11"/>
    </row>
    <row r="804" ht="12.75">
      <c r="D804" s="11"/>
    </row>
    <row r="805" ht="12.75">
      <c r="D805" s="11"/>
    </row>
    <row r="806" ht="12.75">
      <c r="D806" s="11"/>
    </row>
    <row r="807" ht="12.75">
      <c r="D807" s="11"/>
    </row>
    <row r="808" ht="12.75">
      <c r="D808" s="11"/>
    </row>
    <row r="809" ht="12.75">
      <c r="D809" s="11"/>
    </row>
    <row r="810" ht="12.75">
      <c r="D810" s="11"/>
    </row>
    <row r="811" ht="12.75">
      <c r="D811" s="11"/>
    </row>
    <row r="812" ht="12.75">
      <c r="D812" s="11"/>
    </row>
    <row r="813" ht="12.75">
      <c r="D813" s="11"/>
    </row>
    <row r="814" ht="12.75">
      <c r="D814" s="11"/>
    </row>
    <row r="815" ht="12.75">
      <c r="D815" s="11"/>
    </row>
    <row r="816" ht="12.75">
      <c r="D816" s="11"/>
    </row>
    <row r="817" ht="12.75">
      <c r="D817" s="11"/>
    </row>
    <row r="818" ht="12.75">
      <c r="D818" s="11"/>
    </row>
    <row r="819" ht="12.75">
      <c r="D819" s="11"/>
    </row>
    <row r="820" ht="12.75">
      <c r="D820" s="11"/>
    </row>
    <row r="821" ht="12.75">
      <c r="D821" s="11"/>
    </row>
    <row r="822" ht="12.75">
      <c r="D822" s="11"/>
    </row>
    <row r="823" ht="12.75">
      <c r="D823" s="11"/>
    </row>
    <row r="824" ht="12.75">
      <c r="D824" s="11"/>
    </row>
    <row r="825" ht="12.75">
      <c r="D825" s="11"/>
    </row>
    <row r="826" ht="12.75">
      <c r="D826" s="11"/>
    </row>
    <row r="827" ht="12.75">
      <c r="D827" s="11"/>
    </row>
    <row r="828" ht="12.75">
      <c r="D828" s="11"/>
    </row>
    <row r="829" ht="12.75">
      <c r="D829" s="11"/>
    </row>
    <row r="830" ht="12.75">
      <c r="D830" s="11"/>
    </row>
    <row r="831" ht="12.75">
      <c r="D831" s="11"/>
    </row>
    <row r="832" ht="12.75">
      <c r="D832" s="11"/>
    </row>
    <row r="833" ht="12.75">
      <c r="D833" s="11"/>
    </row>
    <row r="834" ht="12.75">
      <c r="D834" s="11"/>
    </row>
    <row r="835" ht="12.75">
      <c r="D835" s="11"/>
    </row>
    <row r="836" ht="12.75">
      <c r="D836" s="11"/>
    </row>
    <row r="837" ht="12.75">
      <c r="D837" s="11"/>
    </row>
    <row r="838" ht="12.75">
      <c r="D838" s="11"/>
    </row>
    <row r="839" ht="12.75">
      <c r="D839" s="11"/>
    </row>
    <row r="840" ht="12.75">
      <c r="D840" s="11"/>
    </row>
    <row r="841" ht="12.75">
      <c r="D841" s="11"/>
    </row>
    <row r="842" ht="12.75">
      <c r="D842" s="11"/>
    </row>
    <row r="843" ht="12.75">
      <c r="D843" s="11"/>
    </row>
    <row r="844" ht="12.75">
      <c r="D844" s="11"/>
    </row>
    <row r="845" ht="12.75">
      <c r="D845" s="11"/>
    </row>
    <row r="846" ht="12.75">
      <c r="D846" s="11"/>
    </row>
    <row r="847" ht="12.75">
      <c r="D847" s="11"/>
    </row>
    <row r="848" ht="12.75">
      <c r="D848" s="11"/>
    </row>
    <row r="849" ht="12.75">
      <c r="D849" s="11"/>
    </row>
    <row r="850" ht="12.75">
      <c r="D850" s="11"/>
    </row>
    <row r="851" ht="12.75">
      <c r="D851" s="11"/>
    </row>
    <row r="852" ht="12.75">
      <c r="D852" s="11"/>
    </row>
    <row r="853" ht="12.75">
      <c r="D853" s="11"/>
    </row>
    <row r="854" ht="12.75">
      <c r="D854" s="11"/>
    </row>
    <row r="855" ht="12.75">
      <c r="D855" s="11"/>
    </row>
    <row r="856" ht="12.75">
      <c r="D856" s="11"/>
    </row>
    <row r="857" ht="12.75">
      <c r="D857" s="11"/>
    </row>
    <row r="858" ht="12.75">
      <c r="D858" s="11"/>
    </row>
    <row r="859" ht="12.75">
      <c r="D859" s="11"/>
    </row>
    <row r="860" ht="12.75">
      <c r="D860" s="11"/>
    </row>
    <row r="861" ht="12.75">
      <c r="D861" s="11"/>
    </row>
    <row r="862" ht="12.75">
      <c r="D862" s="11"/>
    </row>
    <row r="863" ht="12.75">
      <c r="D863" s="11"/>
    </row>
    <row r="864" ht="12.75">
      <c r="D864" s="11"/>
    </row>
    <row r="865" ht="12.75">
      <c r="D865" s="11"/>
    </row>
    <row r="866" ht="12.75">
      <c r="D866" s="11"/>
    </row>
    <row r="867" ht="12.75">
      <c r="D867" s="11"/>
    </row>
    <row r="868" ht="12.75">
      <c r="D868" s="11"/>
    </row>
    <row r="869" ht="12.75">
      <c r="D869" s="11"/>
    </row>
    <row r="870" ht="12.75">
      <c r="D870" s="11"/>
    </row>
    <row r="871" ht="12.75">
      <c r="D871" s="11"/>
    </row>
    <row r="872" ht="12.75">
      <c r="D872" s="11"/>
    </row>
    <row r="873" ht="12.75">
      <c r="D873" s="11"/>
    </row>
    <row r="874" ht="12.75">
      <c r="D874" s="11"/>
    </row>
    <row r="875" ht="12.75">
      <c r="D875" s="11"/>
    </row>
    <row r="876" ht="12.75">
      <c r="D876" s="11"/>
    </row>
    <row r="877" ht="12.75">
      <c r="D877" s="11"/>
    </row>
    <row r="878" ht="12.75">
      <c r="D878" s="11"/>
    </row>
    <row r="879" ht="12.75">
      <c r="D879" s="11"/>
    </row>
    <row r="880" ht="12.75">
      <c r="D880" s="11"/>
    </row>
    <row r="881" ht="12.75">
      <c r="D881" s="11"/>
    </row>
    <row r="882" ht="12.75">
      <c r="D882" s="11"/>
    </row>
    <row r="883" ht="12.75">
      <c r="D883" s="11"/>
    </row>
    <row r="884" ht="12.75">
      <c r="D884" s="11"/>
    </row>
    <row r="885" ht="12.75">
      <c r="D885" s="11"/>
    </row>
    <row r="886" ht="12.75">
      <c r="D886" s="11"/>
    </row>
    <row r="887" ht="12.75">
      <c r="D887" s="11"/>
    </row>
    <row r="888" ht="12.75">
      <c r="D888" s="11"/>
    </row>
    <row r="889" ht="12.75">
      <c r="D889" s="11"/>
    </row>
    <row r="890" ht="12.75">
      <c r="D890" s="11"/>
    </row>
    <row r="891" ht="12.75">
      <c r="D891" s="11"/>
    </row>
    <row r="892" ht="12.75">
      <c r="D892" s="11"/>
    </row>
    <row r="893" ht="12.75">
      <c r="D893" s="11"/>
    </row>
    <row r="894" ht="12.75">
      <c r="D894" s="11"/>
    </row>
    <row r="895" ht="12.75">
      <c r="D895" s="11"/>
    </row>
    <row r="896" ht="12.75">
      <c r="D896" s="11"/>
    </row>
    <row r="897" ht="12.75">
      <c r="D897" s="11"/>
    </row>
    <row r="898" ht="12.75">
      <c r="D898" s="11"/>
    </row>
    <row r="899" ht="12.75">
      <c r="D899" s="11"/>
    </row>
    <row r="900" ht="12.75">
      <c r="D900" s="11"/>
    </row>
    <row r="901" ht="12.75">
      <c r="D901" s="11"/>
    </row>
    <row r="902" ht="12.75">
      <c r="D902" s="11"/>
    </row>
    <row r="903" ht="12.75">
      <c r="D903" s="11"/>
    </row>
    <row r="904" ht="12.75">
      <c r="D904" s="11"/>
    </row>
    <row r="905" ht="12.75">
      <c r="D905" s="11"/>
    </row>
    <row r="906" ht="12.75">
      <c r="D906" s="11"/>
    </row>
    <row r="907" ht="12.75">
      <c r="D907" s="11"/>
    </row>
    <row r="908" ht="12.75">
      <c r="D908" s="11"/>
    </row>
    <row r="909" ht="12.75">
      <c r="D909" s="11"/>
    </row>
    <row r="910" ht="12.75">
      <c r="D910" s="11"/>
    </row>
    <row r="911" ht="12.75">
      <c r="D911" s="11"/>
    </row>
    <row r="912" ht="12.75">
      <c r="D912" s="11"/>
    </row>
    <row r="913" ht="12.75">
      <c r="D913" s="11"/>
    </row>
    <row r="914" ht="12.75">
      <c r="D914" s="11"/>
    </row>
    <row r="915" ht="12.75">
      <c r="D915" s="11"/>
    </row>
    <row r="916" ht="12.75">
      <c r="D916" s="11"/>
    </row>
    <row r="917" ht="12.75">
      <c r="D917" s="11"/>
    </row>
    <row r="918" ht="12.75">
      <c r="D918" s="11"/>
    </row>
    <row r="919" ht="12.75">
      <c r="D919" s="11"/>
    </row>
    <row r="920" ht="12.75">
      <c r="D920" s="11"/>
    </row>
    <row r="921" ht="12.75">
      <c r="D921" s="11"/>
    </row>
    <row r="922" ht="12.75">
      <c r="D922" s="11"/>
    </row>
    <row r="923" ht="12.75">
      <c r="D923" s="11"/>
    </row>
    <row r="924" ht="12.75">
      <c r="D924" s="11"/>
    </row>
    <row r="925" ht="12.75">
      <c r="D925" s="11"/>
    </row>
    <row r="926" ht="12.75">
      <c r="D926" s="11"/>
    </row>
    <row r="927" ht="12.75">
      <c r="D927" s="11"/>
    </row>
    <row r="928" ht="12.75">
      <c r="D928" s="11"/>
    </row>
    <row r="929" ht="12.75">
      <c r="D929" s="11"/>
    </row>
    <row r="930" ht="12.75">
      <c r="D930" s="11"/>
    </row>
    <row r="931" ht="12.75">
      <c r="D931" s="11"/>
    </row>
    <row r="932" ht="12.75">
      <c r="D932" s="11"/>
    </row>
    <row r="933" ht="12.75">
      <c r="D933" s="11"/>
    </row>
    <row r="934" ht="12.75">
      <c r="D934" s="11"/>
    </row>
    <row r="935" ht="12.75">
      <c r="D935" s="11"/>
    </row>
    <row r="936" ht="12.75">
      <c r="D936" s="11"/>
    </row>
    <row r="937" ht="12.75">
      <c r="D937" s="11"/>
    </row>
    <row r="938" ht="12.75">
      <c r="D938" s="11"/>
    </row>
    <row r="939" ht="12.75">
      <c r="D939" s="11"/>
    </row>
    <row r="940" ht="12.75">
      <c r="D940" s="11"/>
    </row>
    <row r="941" ht="12.75">
      <c r="D941" s="11"/>
    </row>
    <row r="942" ht="12.75">
      <c r="D942" s="11"/>
    </row>
    <row r="943" ht="12.75">
      <c r="D943" s="11"/>
    </row>
    <row r="944" ht="12.75">
      <c r="D944" s="11"/>
    </row>
    <row r="945" ht="12.75">
      <c r="D945" s="11"/>
    </row>
    <row r="946" ht="12.75">
      <c r="D946" s="11"/>
    </row>
    <row r="947" ht="12.75">
      <c r="D947" s="11"/>
    </row>
    <row r="948" ht="12.75">
      <c r="D948" s="11"/>
    </row>
    <row r="949" ht="12.75">
      <c r="D949" s="11"/>
    </row>
    <row r="950" ht="12.75">
      <c r="D950" s="11"/>
    </row>
    <row r="951" ht="12.75">
      <c r="D951" s="11"/>
    </row>
    <row r="952" ht="12.75">
      <c r="D952" s="11"/>
    </row>
    <row r="953" ht="12.75">
      <c r="D953" s="11"/>
    </row>
    <row r="954" ht="12.75">
      <c r="D954" s="11"/>
    </row>
    <row r="955" ht="12.75">
      <c r="D955" s="11"/>
    </row>
    <row r="956" ht="12.75">
      <c r="D956" s="11"/>
    </row>
    <row r="957" ht="12.75">
      <c r="D957" s="11"/>
    </row>
    <row r="958" ht="12.75">
      <c r="D958" s="11"/>
    </row>
    <row r="959" ht="12.75">
      <c r="D959" s="11"/>
    </row>
    <row r="960" ht="12.75">
      <c r="D960" s="11"/>
    </row>
    <row r="961" ht="12.75">
      <c r="D961" s="11"/>
    </row>
    <row r="962" ht="12.75">
      <c r="D962" s="11"/>
    </row>
    <row r="963" ht="12.75">
      <c r="D963" s="11"/>
    </row>
    <row r="964" ht="12.75">
      <c r="D964" s="11"/>
    </row>
    <row r="965" ht="12.75">
      <c r="D965" s="11"/>
    </row>
    <row r="966" ht="12.75">
      <c r="D966" s="11"/>
    </row>
    <row r="967" ht="12.75">
      <c r="D967" s="11"/>
    </row>
    <row r="968" ht="12.75">
      <c r="D968" s="11"/>
    </row>
    <row r="969" ht="12.75">
      <c r="D969" s="11"/>
    </row>
    <row r="970" ht="12.75">
      <c r="D970" s="11"/>
    </row>
    <row r="971" ht="12.75">
      <c r="D971" s="11"/>
    </row>
    <row r="972" ht="12.75">
      <c r="D972" s="11"/>
    </row>
    <row r="973" ht="12.75">
      <c r="D973" s="11"/>
    </row>
    <row r="974" ht="12.75">
      <c r="D974" s="11"/>
    </row>
    <row r="975" ht="12.75">
      <c r="D975" s="11"/>
    </row>
    <row r="976" ht="12.75">
      <c r="D976" s="11"/>
    </row>
    <row r="977" ht="12.75">
      <c r="D977" s="11"/>
    </row>
    <row r="978" ht="12.75">
      <c r="D978" s="11"/>
    </row>
    <row r="979" ht="12.75">
      <c r="D979" s="11"/>
    </row>
    <row r="980" ht="12.75">
      <c r="D980" s="11"/>
    </row>
    <row r="981" ht="12.75">
      <c r="D981" s="11"/>
    </row>
    <row r="982" ht="12.75">
      <c r="D982" s="11"/>
    </row>
    <row r="983" ht="12.75">
      <c r="D983" s="11"/>
    </row>
    <row r="984" ht="12.75">
      <c r="D984" s="11"/>
    </row>
    <row r="985" ht="12.75">
      <c r="D985" s="11"/>
    </row>
    <row r="986" ht="12.75">
      <c r="D986" s="11"/>
    </row>
    <row r="987" ht="12.75">
      <c r="D987" s="11"/>
    </row>
    <row r="988" ht="12.75">
      <c r="D988" s="11"/>
    </row>
    <row r="989" ht="12.75">
      <c r="D989" s="11"/>
    </row>
    <row r="990" ht="12.75">
      <c r="D990" s="11"/>
    </row>
    <row r="991" ht="12.75">
      <c r="D991" s="11"/>
    </row>
    <row r="992" ht="12.75">
      <c r="D992" s="11"/>
    </row>
    <row r="993" ht="12.75">
      <c r="D993" s="11"/>
    </row>
    <row r="994" ht="12.75">
      <c r="D994" s="11"/>
    </row>
    <row r="995" ht="12.75">
      <c r="D995" s="11"/>
    </row>
    <row r="996" ht="12.75">
      <c r="D996" s="11"/>
    </row>
    <row r="997" ht="12.75">
      <c r="D997" s="11"/>
    </row>
    <row r="998" ht="12.75">
      <c r="D998" s="11"/>
    </row>
    <row r="999" ht="12.75">
      <c r="D999" s="11"/>
    </row>
    <row r="1000" ht="12.75">
      <c r="D1000" s="11"/>
    </row>
    <row r="1001" ht="12.75">
      <c r="D1001" s="11"/>
    </row>
    <row r="1002" ht="12.75">
      <c r="D1002" s="11"/>
    </row>
    <row r="1003" ht="12.75">
      <c r="D1003" s="11"/>
    </row>
    <row r="1004" ht="12.75">
      <c r="D1004" s="11"/>
    </row>
    <row r="1005" ht="12.75">
      <c r="D1005" s="11"/>
    </row>
    <row r="1006" ht="12.75">
      <c r="D1006" s="11"/>
    </row>
    <row r="1007" ht="12.75">
      <c r="D1007" s="11"/>
    </row>
    <row r="1008" ht="12.75">
      <c r="D1008" s="11"/>
    </row>
    <row r="1009" ht="12.75">
      <c r="D1009" s="11"/>
    </row>
    <row r="1010" ht="12.75">
      <c r="D1010" s="11"/>
    </row>
    <row r="1011" ht="12.75">
      <c r="D1011" s="11"/>
    </row>
    <row r="1012" ht="12.75">
      <c r="D1012" s="11"/>
    </row>
    <row r="1013" ht="12.75">
      <c r="D1013" s="11"/>
    </row>
    <row r="1014" ht="12.75">
      <c r="D1014" s="11"/>
    </row>
    <row r="1015" ht="12.75">
      <c r="D1015" s="11"/>
    </row>
    <row r="1016" ht="12.75">
      <c r="D1016" s="11"/>
    </row>
    <row r="1017" ht="12.75">
      <c r="D1017" s="11"/>
    </row>
    <row r="1018" ht="12.75">
      <c r="D1018" s="11"/>
    </row>
    <row r="1019" ht="12.75">
      <c r="D1019" s="11"/>
    </row>
    <row r="1020" ht="12.75">
      <c r="D1020" s="11"/>
    </row>
    <row r="1021" ht="12.75">
      <c r="D1021" s="11"/>
    </row>
    <row r="1022" ht="12.75">
      <c r="D1022" s="11"/>
    </row>
    <row r="1023" ht="12.75">
      <c r="D1023" s="11"/>
    </row>
    <row r="1024" ht="12.75">
      <c r="D1024" s="11"/>
    </row>
    <row r="1025" ht="12.75">
      <c r="D1025" s="11"/>
    </row>
    <row r="1026" ht="12.75">
      <c r="D1026" s="11"/>
    </row>
    <row r="1027" ht="12.75">
      <c r="D1027" s="11"/>
    </row>
    <row r="1028" ht="12.75">
      <c r="D1028" s="11"/>
    </row>
    <row r="1029" ht="12.75">
      <c r="D1029" s="11"/>
    </row>
    <row r="1030" ht="12.75">
      <c r="D1030" s="11"/>
    </row>
    <row r="1031" ht="12.75">
      <c r="D1031" s="11"/>
    </row>
    <row r="1032" ht="12.75">
      <c r="D1032" s="11"/>
    </row>
    <row r="1033" ht="12.75">
      <c r="D1033" s="11"/>
    </row>
    <row r="1034" ht="12.75">
      <c r="D1034" s="11"/>
    </row>
    <row r="1035" ht="12.75">
      <c r="D1035" s="11"/>
    </row>
    <row r="1036" ht="12.75">
      <c r="D1036" s="11"/>
    </row>
    <row r="1037" ht="12.75">
      <c r="D1037" s="11"/>
    </row>
    <row r="1038" ht="12.75">
      <c r="D1038" s="11"/>
    </row>
    <row r="1039" ht="12.75">
      <c r="D1039" s="11"/>
    </row>
    <row r="1040" ht="12.75">
      <c r="D1040" s="11"/>
    </row>
    <row r="1041" ht="12.75">
      <c r="D1041" s="11"/>
    </row>
    <row r="1042" ht="12.75">
      <c r="D1042" s="11"/>
    </row>
    <row r="1043" ht="12.75">
      <c r="D1043" s="11"/>
    </row>
    <row r="1044" ht="12.75">
      <c r="D1044" s="11"/>
    </row>
    <row r="1045" ht="12.75">
      <c r="D1045" s="11"/>
    </row>
    <row r="1046" ht="12.75">
      <c r="D1046" s="11"/>
    </row>
    <row r="1047" ht="12.75">
      <c r="D1047" s="11"/>
    </row>
    <row r="1048" ht="12.75">
      <c r="D1048" s="11"/>
    </row>
    <row r="1049" ht="12.75">
      <c r="D1049" s="11"/>
    </row>
    <row r="1050" ht="12.75">
      <c r="D1050" s="11"/>
    </row>
    <row r="1051" ht="12.75">
      <c r="D1051" s="11"/>
    </row>
    <row r="1052" ht="12.75">
      <c r="D1052" s="11"/>
    </row>
    <row r="1053" ht="12.75">
      <c r="D1053" s="11"/>
    </row>
    <row r="1054" ht="12.75">
      <c r="D1054" s="11"/>
    </row>
    <row r="1055" ht="12.75">
      <c r="D1055" s="11"/>
    </row>
    <row r="1056" ht="12.75">
      <c r="D1056" s="11"/>
    </row>
    <row r="1057" ht="12.75">
      <c r="D1057" s="11"/>
    </row>
    <row r="1058" ht="12.75">
      <c r="D1058" s="11"/>
    </row>
    <row r="1059" ht="12.75">
      <c r="D1059" s="11"/>
    </row>
    <row r="1060" ht="12.75">
      <c r="D1060" s="11"/>
    </row>
    <row r="1061" ht="12.75">
      <c r="D1061" s="11"/>
    </row>
    <row r="1062" ht="12.75">
      <c r="D1062" s="11"/>
    </row>
    <row r="1063" ht="12.75">
      <c r="D1063" s="11"/>
    </row>
    <row r="1064" ht="12.75">
      <c r="D1064" s="11"/>
    </row>
    <row r="1065" ht="12.75">
      <c r="D1065" s="11"/>
    </row>
    <row r="1066" ht="12.75">
      <c r="D1066" s="11"/>
    </row>
    <row r="1067" ht="12.75">
      <c r="D1067" s="11"/>
    </row>
    <row r="1068" ht="12.75">
      <c r="D1068" s="11"/>
    </row>
    <row r="1069" ht="12.75">
      <c r="D1069" s="11"/>
    </row>
    <row r="1070" ht="12.75">
      <c r="D1070" s="11"/>
    </row>
    <row r="1071" ht="12.75">
      <c r="D1071" s="11"/>
    </row>
    <row r="1072" ht="12.75">
      <c r="D1072" s="11"/>
    </row>
    <row r="1073" ht="12.75">
      <c r="D1073" s="11"/>
    </row>
    <row r="1074" ht="12.75">
      <c r="D1074" s="11"/>
    </row>
    <row r="1075" ht="12.75">
      <c r="D1075" s="11"/>
    </row>
    <row r="1076" ht="12.75">
      <c r="D1076" s="11"/>
    </row>
    <row r="1077" ht="12.75">
      <c r="D1077" s="11"/>
    </row>
    <row r="1078" ht="12.75">
      <c r="D1078" s="11"/>
    </row>
    <row r="1079" ht="12.75">
      <c r="D1079" s="11"/>
    </row>
    <row r="1080" ht="12.75">
      <c r="D1080" s="11"/>
    </row>
    <row r="1081" ht="12.75">
      <c r="D1081" s="11"/>
    </row>
    <row r="1082" ht="12.75">
      <c r="D1082" s="11"/>
    </row>
    <row r="1083" ht="12.75">
      <c r="D1083" s="11"/>
    </row>
    <row r="1084" ht="12.75">
      <c r="D1084" s="11"/>
    </row>
    <row r="1085" ht="12.75">
      <c r="D1085" s="11"/>
    </row>
    <row r="1086" ht="12.75">
      <c r="D1086" s="11"/>
    </row>
    <row r="1087" ht="12.75">
      <c r="D1087" s="11"/>
    </row>
    <row r="1088" ht="12.75">
      <c r="D1088" s="11"/>
    </row>
    <row r="1089" ht="12.75">
      <c r="D1089" s="11"/>
    </row>
    <row r="1090" ht="12.75">
      <c r="D1090" s="11"/>
    </row>
    <row r="1091" ht="12.75">
      <c r="D1091" s="11"/>
    </row>
    <row r="1092" ht="12.75">
      <c r="D1092" s="11"/>
    </row>
    <row r="1093" ht="12.75">
      <c r="D1093" s="11"/>
    </row>
    <row r="1094" ht="12.75">
      <c r="D1094" s="11"/>
    </row>
    <row r="1095" ht="12.75">
      <c r="D1095" s="11"/>
    </row>
    <row r="1096" ht="12.75">
      <c r="D1096" s="11"/>
    </row>
    <row r="1097" ht="12.75">
      <c r="D1097" s="11"/>
    </row>
    <row r="1098" ht="12.75">
      <c r="D1098" s="11"/>
    </row>
    <row r="1099" ht="12.75">
      <c r="D1099" s="11"/>
    </row>
    <row r="1100" ht="12.75">
      <c r="D1100" s="11"/>
    </row>
    <row r="1101" ht="12.75">
      <c r="D1101" s="11"/>
    </row>
    <row r="1102" ht="12.75">
      <c r="D1102" s="11"/>
    </row>
    <row r="1103" ht="12.75">
      <c r="D1103" s="11"/>
    </row>
    <row r="1104" ht="12.75">
      <c r="D1104" s="11"/>
    </row>
    <row r="1105" ht="12.75">
      <c r="D1105" s="11"/>
    </row>
    <row r="1106" ht="12.75">
      <c r="D1106" s="11"/>
    </row>
    <row r="1107" ht="12.75">
      <c r="D1107" s="11"/>
    </row>
    <row r="1108" ht="12.75">
      <c r="D1108" s="11"/>
    </row>
    <row r="1109" ht="12.75">
      <c r="D1109" s="11"/>
    </row>
    <row r="1110" ht="12.75">
      <c r="D1110" s="11"/>
    </row>
    <row r="1111" ht="12.75">
      <c r="D1111" s="11"/>
    </row>
    <row r="1112" ht="12.75">
      <c r="D1112" s="11"/>
    </row>
    <row r="1113" ht="12.75">
      <c r="D1113" s="11"/>
    </row>
    <row r="1114" ht="12.75">
      <c r="D1114" s="11"/>
    </row>
    <row r="1115" ht="12.75">
      <c r="D1115" s="11"/>
    </row>
    <row r="1116" ht="12.75">
      <c r="D1116" s="11"/>
    </row>
    <row r="1117" ht="12.75">
      <c r="D1117" s="11"/>
    </row>
    <row r="1118" ht="12.75">
      <c r="D1118" s="11"/>
    </row>
    <row r="1119" ht="12.75">
      <c r="D1119" s="11"/>
    </row>
    <row r="1120" ht="12.75">
      <c r="D1120" s="11"/>
    </row>
    <row r="1121" ht="12.75">
      <c r="D1121" s="11"/>
    </row>
    <row r="1122" ht="12.75">
      <c r="D1122" s="11"/>
    </row>
    <row r="1123" ht="12.75">
      <c r="D1123" s="11"/>
    </row>
    <row r="1124" ht="12.75">
      <c r="D1124" s="11"/>
    </row>
    <row r="1125" ht="12.75">
      <c r="D1125" s="11"/>
    </row>
    <row r="1126" ht="12.75">
      <c r="D1126" s="11"/>
    </row>
    <row r="1127" ht="12.75">
      <c r="D1127" s="11"/>
    </row>
    <row r="1128" ht="12.75">
      <c r="D1128" s="11"/>
    </row>
    <row r="1129" ht="12.75">
      <c r="D1129" s="11"/>
    </row>
    <row r="1130" ht="12.75">
      <c r="D1130" s="11"/>
    </row>
    <row r="1131" ht="12.75">
      <c r="D1131" s="11"/>
    </row>
    <row r="1132" ht="12.75">
      <c r="D1132" s="11"/>
    </row>
    <row r="1133" ht="12.75">
      <c r="D1133" s="11"/>
    </row>
    <row r="1134" ht="12.75">
      <c r="D1134" s="11"/>
    </row>
    <row r="1135" ht="12.75">
      <c r="D1135" s="11"/>
    </row>
    <row r="1136" ht="12.75">
      <c r="D1136" s="11"/>
    </row>
    <row r="1137" ht="12.75">
      <c r="D1137" s="11"/>
    </row>
    <row r="1138" ht="12.75">
      <c r="D1138" s="11"/>
    </row>
    <row r="1139" ht="12.75">
      <c r="D1139" s="11"/>
    </row>
    <row r="1140" ht="12.75">
      <c r="D1140" s="11"/>
    </row>
    <row r="1141" ht="12.75">
      <c r="D1141" s="11"/>
    </row>
    <row r="1142" ht="12.75">
      <c r="D1142" s="11"/>
    </row>
    <row r="1143" ht="12.75">
      <c r="D1143" s="11"/>
    </row>
    <row r="1144" ht="12.75">
      <c r="D1144" s="11"/>
    </row>
    <row r="1145" ht="12.75">
      <c r="D1145" s="11"/>
    </row>
    <row r="1146" ht="12.75">
      <c r="D1146" s="11"/>
    </row>
    <row r="1147" ht="12.75">
      <c r="D1147" s="11"/>
    </row>
    <row r="1148" ht="12.75">
      <c r="D1148" s="11"/>
    </row>
    <row r="1149" ht="12.75">
      <c r="D1149" s="11"/>
    </row>
    <row r="1150" ht="12.75">
      <c r="D1150" s="11"/>
    </row>
    <row r="1151" ht="12.75">
      <c r="D1151" s="11"/>
    </row>
    <row r="1152" ht="12.75">
      <c r="D1152" s="11"/>
    </row>
    <row r="1153" ht="12.75">
      <c r="D1153" s="11"/>
    </row>
    <row r="1154" ht="12.75">
      <c r="D1154" s="11"/>
    </row>
    <row r="1155" ht="12.75">
      <c r="D1155" s="11"/>
    </row>
    <row r="1156" ht="12.75">
      <c r="D1156" s="11"/>
    </row>
    <row r="1157" ht="12.75">
      <c r="D1157" s="11"/>
    </row>
    <row r="1158" ht="12.75">
      <c r="D1158" s="11"/>
    </row>
    <row r="1159" ht="12.75">
      <c r="D1159" s="11"/>
    </row>
    <row r="1160" ht="12.75">
      <c r="D1160" s="11"/>
    </row>
    <row r="1161" ht="12.75">
      <c r="D1161" s="11"/>
    </row>
    <row r="1162" ht="12.75">
      <c r="D1162" s="11"/>
    </row>
    <row r="1163" ht="12.75">
      <c r="D1163" s="11"/>
    </row>
    <row r="1164" ht="12.75">
      <c r="D1164" s="11"/>
    </row>
    <row r="1165" ht="12.75">
      <c r="D1165" s="11"/>
    </row>
    <row r="1166" ht="12.75">
      <c r="D1166" s="11"/>
    </row>
    <row r="1167" ht="12.75">
      <c r="D1167" s="11"/>
    </row>
    <row r="1168" ht="12.75">
      <c r="D1168" s="11"/>
    </row>
    <row r="1169" ht="12.75">
      <c r="D1169" s="11"/>
    </row>
    <row r="1170" ht="12.75">
      <c r="D1170" s="11"/>
    </row>
    <row r="1171" ht="12.75">
      <c r="D1171" s="11"/>
    </row>
    <row r="1172" ht="12.75">
      <c r="D1172" s="11"/>
    </row>
    <row r="1173" ht="12.75">
      <c r="D1173" s="11"/>
    </row>
    <row r="1174" ht="12.75">
      <c r="D1174" s="11"/>
    </row>
    <row r="1175" ht="12.75">
      <c r="D1175" s="11"/>
    </row>
    <row r="1176" ht="12.75">
      <c r="D1176" s="11"/>
    </row>
    <row r="1177" ht="12.75">
      <c r="D1177" s="11"/>
    </row>
    <row r="1178" ht="12.75">
      <c r="D1178" s="11"/>
    </row>
    <row r="1179" ht="12.75">
      <c r="D1179" s="11"/>
    </row>
    <row r="1180" ht="12.75">
      <c r="D1180" s="11"/>
    </row>
    <row r="1181" ht="12.75">
      <c r="D1181" s="11"/>
    </row>
    <row r="1182" ht="12.75">
      <c r="D1182" s="11"/>
    </row>
    <row r="1183" ht="12.75">
      <c r="D1183" s="11"/>
    </row>
    <row r="1184" ht="12.75">
      <c r="D1184" s="11"/>
    </row>
    <row r="1185" ht="12.75">
      <c r="D1185" s="11"/>
    </row>
    <row r="1186" ht="12.75">
      <c r="D1186" s="11"/>
    </row>
    <row r="1187" ht="12.75">
      <c r="D1187" s="11"/>
    </row>
    <row r="1188" ht="12.75">
      <c r="D1188" s="11"/>
    </row>
    <row r="1189" ht="12.75">
      <c r="D1189" s="11"/>
    </row>
    <row r="1190" ht="12.75">
      <c r="D1190" s="11"/>
    </row>
    <row r="1191" ht="12.75">
      <c r="D1191" s="11"/>
    </row>
    <row r="1192" ht="12.75">
      <c r="D1192" s="11"/>
    </row>
    <row r="1193" ht="12.75">
      <c r="D1193" s="11"/>
    </row>
    <row r="1194" ht="12.75">
      <c r="D1194" s="11"/>
    </row>
    <row r="1195" ht="12.75">
      <c r="D1195" s="11"/>
    </row>
    <row r="1196" ht="12.75">
      <c r="D1196" s="11"/>
    </row>
    <row r="1197" ht="12.75">
      <c r="D1197" s="11"/>
    </row>
    <row r="1198" ht="12.75">
      <c r="D1198" s="11"/>
    </row>
    <row r="1199" ht="12.75">
      <c r="D1199" s="11"/>
    </row>
    <row r="1200" ht="12.75">
      <c r="D1200" s="11"/>
    </row>
    <row r="1201" ht="12.75">
      <c r="D1201" s="11"/>
    </row>
    <row r="1202" ht="12.75">
      <c r="D1202" s="11"/>
    </row>
    <row r="1203" ht="12.75">
      <c r="D1203" s="11"/>
    </row>
    <row r="1204" ht="12.75">
      <c r="D1204" s="11"/>
    </row>
    <row r="1205" ht="12.75">
      <c r="D1205" s="11"/>
    </row>
    <row r="1206" ht="12.75">
      <c r="D1206" s="11"/>
    </row>
    <row r="1207" ht="12.75">
      <c r="D1207" s="11"/>
    </row>
    <row r="1208" ht="12.75">
      <c r="D1208" s="11"/>
    </row>
    <row r="1209" ht="12.75">
      <c r="D1209" s="11"/>
    </row>
    <row r="1210" ht="12.75">
      <c r="D1210" s="11"/>
    </row>
    <row r="1211" ht="12.75">
      <c r="D1211" s="11"/>
    </row>
    <row r="1212" ht="12.75">
      <c r="D1212" s="11"/>
    </row>
    <row r="1213" ht="12.75">
      <c r="D1213" s="11"/>
    </row>
    <row r="1214" ht="12.75">
      <c r="D1214" s="11"/>
    </row>
    <row r="1215" ht="12.75">
      <c r="D1215" s="11"/>
    </row>
    <row r="1216" ht="12.75">
      <c r="D1216" s="11"/>
    </row>
    <row r="1217" ht="12.75">
      <c r="D1217" s="11"/>
    </row>
    <row r="1218" ht="12.75">
      <c r="D1218" s="11"/>
    </row>
    <row r="1219" ht="12.75">
      <c r="D1219" s="11"/>
    </row>
    <row r="1220" ht="12.75">
      <c r="D1220" s="11"/>
    </row>
    <row r="1221" ht="12.75">
      <c r="D1221" s="11"/>
    </row>
    <row r="1222" ht="12.75">
      <c r="D1222" s="11"/>
    </row>
    <row r="1223" ht="12.75">
      <c r="D1223" s="11"/>
    </row>
    <row r="1224" ht="12.75">
      <c r="D1224" s="11"/>
    </row>
    <row r="1225" ht="12.75">
      <c r="D1225" s="11"/>
    </row>
    <row r="1226" ht="12.75">
      <c r="D1226" s="11"/>
    </row>
    <row r="1227" ht="12.75">
      <c r="D1227" s="11"/>
    </row>
    <row r="1228" ht="12.75">
      <c r="D1228" s="11"/>
    </row>
    <row r="1229" ht="12.75">
      <c r="D1229" s="11"/>
    </row>
    <row r="1230" ht="12.75">
      <c r="D1230" s="11"/>
    </row>
    <row r="1231" ht="12.75">
      <c r="D1231" s="11"/>
    </row>
    <row r="1232" ht="12.75">
      <c r="D1232" s="11"/>
    </row>
    <row r="1233" ht="12.75">
      <c r="D1233" s="11"/>
    </row>
    <row r="1234" ht="12.75">
      <c r="D1234" s="11"/>
    </row>
    <row r="1235" ht="12.75">
      <c r="D1235" s="11"/>
    </row>
    <row r="1236" ht="12.75">
      <c r="D1236" s="11"/>
    </row>
    <row r="1237" ht="12.75">
      <c r="D1237" s="11"/>
    </row>
    <row r="1238" ht="12.75">
      <c r="D1238" s="11"/>
    </row>
    <row r="1239" ht="12.75">
      <c r="D1239" s="11"/>
    </row>
    <row r="1240" ht="12.75">
      <c r="D1240" s="11"/>
    </row>
    <row r="1241" ht="12.75">
      <c r="D1241" s="11"/>
    </row>
    <row r="1242" ht="12.75">
      <c r="D1242" s="11"/>
    </row>
    <row r="1243" ht="12.75">
      <c r="D1243" s="11"/>
    </row>
    <row r="1244" ht="12.75">
      <c r="D1244" s="11"/>
    </row>
    <row r="1245" ht="12.75">
      <c r="D1245" s="11"/>
    </row>
    <row r="1246" ht="12.75">
      <c r="D1246" s="11"/>
    </row>
    <row r="1247" ht="12.75">
      <c r="D1247" s="11"/>
    </row>
    <row r="1248" ht="12.75">
      <c r="D1248" s="11"/>
    </row>
    <row r="1249" ht="12.75">
      <c r="D1249" s="11"/>
    </row>
    <row r="1250" ht="12.75">
      <c r="D1250" s="11"/>
    </row>
    <row r="1251" ht="12.75">
      <c r="D1251" s="11"/>
    </row>
    <row r="1252" ht="12.75">
      <c r="D1252" s="11"/>
    </row>
    <row r="1253" ht="12.75">
      <c r="D1253" s="11"/>
    </row>
    <row r="1254" ht="12.75">
      <c r="D1254" s="11"/>
    </row>
    <row r="1255" ht="12.75">
      <c r="D1255" s="11"/>
    </row>
    <row r="1256" ht="12.75">
      <c r="D1256" s="11"/>
    </row>
    <row r="1257" ht="12.75">
      <c r="D1257" s="11"/>
    </row>
    <row r="1258" ht="12.75">
      <c r="D1258" s="11"/>
    </row>
    <row r="1259" ht="12.75">
      <c r="D1259" s="11"/>
    </row>
    <row r="1260" ht="12.75">
      <c r="D1260" s="11"/>
    </row>
    <row r="1261" ht="12.75">
      <c r="D1261" s="11"/>
    </row>
    <row r="1262" ht="12.75">
      <c r="D1262" s="11"/>
    </row>
    <row r="1263" ht="12.75">
      <c r="D1263" s="11"/>
    </row>
    <row r="1264" ht="12.75">
      <c r="D1264" s="11"/>
    </row>
    <row r="1265" ht="12.75">
      <c r="D1265" s="11"/>
    </row>
    <row r="1266" ht="12.75">
      <c r="D1266" s="11"/>
    </row>
    <row r="1267" ht="12.75">
      <c r="D1267" s="11"/>
    </row>
    <row r="1268" ht="12.75">
      <c r="D1268" s="11"/>
    </row>
    <row r="1269" ht="12.75">
      <c r="D1269" s="11"/>
    </row>
    <row r="1270" ht="12.75">
      <c r="D1270" s="11"/>
    </row>
    <row r="1271" ht="12.75">
      <c r="D1271" s="11"/>
    </row>
    <row r="1272" ht="12.75">
      <c r="D1272" s="11"/>
    </row>
    <row r="1273" ht="12.75">
      <c r="D1273" s="11"/>
    </row>
    <row r="1274" ht="12.75">
      <c r="D1274" s="11"/>
    </row>
    <row r="1275" ht="12.75">
      <c r="D1275" s="11"/>
    </row>
    <row r="1276" ht="12.75">
      <c r="D1276" s="11"/>
    </row>
    <row r="1277" ht="12.75">
      <c r="D1277" s="11"/>
    </row>
    <row r="1278" ht="12.75">
      <c r="D1278" s="11"/>
    </row>
    <row r="1279" ht="12.75">
      <c r="D1279" s="11"/>
    </row>
    <row r="1280" ht="12.75">
      <c r="D1280" s="11"/>
    </row>
    <row r="1281" ht="12.75">
      <c r="D1281" s="11"/>
    </row>
    <row r="1282" ht="12.75">
      <c r="D1282" s="11"/>
    </row>
    <row r="1283" ht="12.75">
      <c r="D1283" s="11"/>
    </row>
    <row r="1284" ht="12.75">
      <c r="D1284" s="11"/>
    </row>
    <row r="1285" ht="12.75">
      <c r="D1285" s="11"/>
    </row>
    <row r="1286" ht="12.75">
      <c r="D1286" s="11"/>
    </row>
    <row r="1287" ht="12.75">
      <c r="D1287" s="11"/>
    </row>
    <row r="1288" ht="12.75">
      <c r="D1288" s="11"/>
    </row>
    <row r="1289" ht="12.75">
      <c r="D1289" s="11"/>
    </row>
    <row r="1290" ht="12.75">
      <c r="D1290" s="11"/>
    </row>
    <row r="1291" ht="12.75">
      <c r="D1291" s="11"/>
    </row>
    <row r="1292" ht="12.75">
      <c r="D1292" s="11"/>
    </row>
    <row r="1293" ht="12.75">
      <c r="D1293" s="11"/>
    </row>
    <row r="1294" ht="12.75">
      <c r="D1294" s="11"/>
    </row>
    <row r="1295" ht="12.75">
      <c r="D1295" s="11"/>
    </row>
    <row r="1296" ht="12.75">
      <c r="D1296" s="11"/>
    </row>
    <row r="1297" ht="12.75">
      <c r="D1297" s="11"/>
    </row>
    <row r="1298" ht="12.75">
      <c r="D1298" s="11"/>
    </row>
    <row r="1299" ht="12.75">
      <c r="D1299" s="11"/>
    </row>
    <row r="1300" ht="12.75">
      <c r="D1300" s="11"/>
    </row>
    <row r="1301" ht="12.75">
      <c r="D1301" s="11"/>
    </row>
    <row r="1302" ht="12.75">
      <c r="D1302" s="11"/>
    </row>
    <row r="1303" ht="12.75">
      <c r="D1303" s="11"/>
    </row>
    <row r="1304" ht="12.75">
      <c r="D1304" s="11"/>
    </row>
    <row r="1305" ht="12.75">
      <c r="D1305" s="11"/>
    </row>
    <row r="1306" ht="12.75">
      <c r="D1306" s="11"/>
    </row>
    <row r="1307" ht="12.75">
      <c r="D1307" s="11"/>
    </row>
    <row r="1308" ht="12.75">
      <c r="D1308" s="11"/>
    </row>
    <row r="1309" ht="12.75">
      <c r="D1309" s="11"/>
    </row>
    <row r="1310" ht="12.75">
      <c r="D1310" s="11"/>
    </row>
    <row r="1311" ht="12.75">
      <c r="D1311" s="11"/>
    </row>
    <row r="1312" ht="12.75">
      <c r="D1312" s="11"/>
    </row>
    <row r="1313" ht="12.75">
      <c r="D1313" s="11"/>
    </row>
    <row r="1314" ht="12.75">
      <c r="D1314" s="11"/>
    </row>
    <row r="1315" ht="12.75">
      <c r="D1315" s="11"/>
    </row>
    <row r="1316" ht="12.75">
      <c r="D1316" s="11"/>
    </row>
    <row r="1317" ht="12.75">
      <c r="D1317" s="11"/>
    </row>
    <row r="1318" ht="12.75">
      <c r="D1318" s="11"/>
    </row>
    <row r="1319" ht="12.75">
      <c r="D1319" s="11"/>
    </row>
    <row r="1320" ht="12.75">
      <c r="D1320" s="11"/>
    </row>
    <row r="1321" ht="12.75">
      <c r="D1321" s="11"/>
    </row>
    <row r="1322" ht="12.75">
      <c r="D1322" s="11"/>
    </row>
    <row r="1323" ht="12.75">
      <c r="D1323" s="11"/>
    </row>
    <row r="1324" ht="12.75">
      <c r="D1324" s="11"/>
    </row>
    <row r="1325" ht="12.75">
      <c r="D1325" s="11"/>
    </row>
    <row r="1326" ht="12.75">
      <c r="D1326" s="11"/>
    </row>
    <row r="1327" ht="12.75">
      <c r="D1327" s="11"/>
    </row>
    <row r="1328" ht="12.75">
      <c r="D1328" s="11"/>
    </row>
    <row r="1329" ht="12.75">
      <c r="D1329" s="11"/>
    </row>
    <row r="1330" ht="12.75">
      <c r="D1330" s="11"/>
    </row>
    <row r="1331" ht="12.75">
      <c r="D1331" s="11"/>
    </row>
    <row r="1332" ht="12.75">
      <c r="D1332" s="11"/>
    </row>
    <row r="1333" ht="12.75">
      <c r="D1333" s="11"/>
    </row>
    <row r="1334" ht="12.75">
      <c r="D1334" s="11"/>
    </row>
    <row r="1335" ht="12.75">
      <c r="D1335" s="11"/>
    </row>
    <row r="1336" ht="12.75">
      <c r="D1336" s="11"/>
    </row>
    <row r="1337" ht="12.75">
      <c r="D1337" s="11"/>
    </row>
    <row r="1338" ht="12.75">
      <c r="D1338" s="11"/>
    </row>
    <row r="1339" ht="12.75">
      <c r="D1339" s="11"/>
    </row>
    <row r="1340" ht="12.75">
      <c r="D1340" s="11"/>
    </row>
    <row r="1341" ht="12.75">
      <c r="D1341" s="11"/>
    </row>
    <row r="1342" ht="12.75">
      <c r="D1342" s="11"/>
    </row>
    <row r="1343" ht="12.75">
      <c r="D1343" s="11"/>
    </row>
    <row r="1344" ht="12.75">
      <c r="D1344" s="11"/>
    </row>
    <row r="1345" ht="12.75">
      <c r="D1345" s="11"/>
    </row>
    <row r="1346" ht="12.75">
      <c r="D1346" s="11"/>
    </row>
    <row r="1347" ht="12.75">
      <c r="D1347" s="11"/>
    </row>
    <row r="1348" ht="12.75">
      <c r="D1348" s="11"/>
    </row>
    <row r="1349" ht="12.75">
      <c r="D1349" s="11"/>
    </row>
    <row r="1350" ht="12.75">
      <c r="D1350" s="11"/>
    </row>
    <row r="1351" ht="12.75">
      <c r="D1351" s="11"/>
    </row>
    <row r="1352" ht="12.75">
      <c r="D1352" s="11"/>
    </row>
    <row r="1353" ht="12.75">
      <c r="D1353" s="11"/>
    </row>
    <row r="1354" ht="12.75">
      <c r="D1354" s="11"/>
    </row>
    <row r="1355" ht="12.75">
      <c r="D1355" s="11"/>
    </row>
    <row r="1356" ht="12.75">
      <c r="D1356" s="11"/>
    </row>
    <row r="1357" ht="12.75">
      <c r="D1357" s="11"/>
    </row>
    <row r="1358" ht="12.75">
      <c r="D1358" s="11"/>
    </row>
    <row r="1359" ht="12.75">
      <c r="D1359" s="11"/>
    </row>
    <row r="1360" ht="12.75">
      <c r="D1360" s="11"/>
    </row>
    <row r="1361" ht="12.75">
      <c r="D1361" s="11"/>
    </row>
    <row r="1362" ht="12.75">
      <c r="D1362" s="11"/>
    </row>
    <row r="1363" ht="12.75">
      <c r="D1363" s="11"/>
    </row>
    <row r="1364" ht="12.75">
      <c r="D1364" s="11"/>
    </row>
    <row r="1365" ht="12.75">
      <c r="D1365" s="11"/>
    </row>
    <row r="1366" ht="12.75">
      <c r="D1366" s="11"/>
    </row>
    <row r="1367" ht="12.75">
      <c r="D1367" s="11"/>
    </row>
    <row r="1368" ht="12.75">
      <c r="D1368" s="11"/>
    </row>
    <row r="1369" ht="12.75">
      <c r="D1369" s="11"/>
    </row>
    <row r="1370" ht="12.75">
      <c r="D1370" s="11"/>
    </row>
    <row r="1371" ht="12.75">
      <c r="D1371" s="11"/>
    </row>
    <row r="1372" ht="12.75">
      <c r="D1372" s="11"/>
    </row>
    <row r="1373" ht="12.75">
      <c r="D1373" s="11"/>
    </row>
    <row r="1374" ht="12.75">
      <c r="D1374" s="11"/>
    </row>
    <row r="1375" ht="12.75">
      <c r="D1375" s="11"/>
    </row>
    <row r="1376" ht="12.75">
      <c r="D1376" s="11"/>
    </row>
    <row r="1377" ht="12.75">
      <c r="D1377" s="11"/>
    </row>
    <row r="1378" ht="12.75">
      <c r="D1378" s="11"/>
    </row>
    <row r="1379" ht="12.75">
      <c r="D1379" s="11"/>
    </row>
    <row r="1380" ht="12.75">
      <c r="D1380" s="11"/>
    </row>
    <row r="1381" ht="12.75">
      <c r="D1381" s="11"/>
    </row>
    <row r="1382" ht="12.75">
      <c r="D1382" s="11"/>
    </row>
    <row r="1383" ht="12.75">
      <c r="D1383" s="11"/>
    </row>
    <row r="1384" ht="12.75">
      <c r="D1384" s="11"/>
    </row>
    <row r="1385" ht="12.75">
      <c r="D1385" s="11"/>
    </row>
    <row r="1386" ht="12.75">
      <c r="D1386" s="11"/>
    </row>
    <row r="1387" ht="12.75">
      <c r="D1387" s="11"/>
    </row>
    <row r="1388" ht="12.75">
      <c r="D1388" s="11"/>
    </row>
    <row r="1389" ht="12.75">
      <c r="D1389" s="11"/>
    </row>
    <row r="1390" ht="12.75">
      <c r="D1390" s="11"/>
    </row>
    <row r="1391" ht="12.75">
      <c r="D1391" s="11"/>
    </row>
    <row r="1392" ht="12.75">
      <c r="D1392" s="11"/>
    </row>
    <row r="1393" ht="12.75">
      <c r="D1393" s="11"/>
    </row>
    <row r="1394" ht="12.75">
      <c r="D1394" s="11"/>
    </row>
    <row r="1395" ht="12.75">
      <c r="D1395" s="11"/>
    </row>
    <row r="1396" ht="12.75">
      <c r="D1396" s="11"/>
    </row>
    <row r="1397" ht="12.75">
      <c r="D1397" s="11"/>
    </row>
    <row r="1398" ht="12.75">
      <c r="D1398" s="11"/>
    </row>
    <row r="1399" ht="12.75">
      <c r="D1399" s="11"/>
    </row>
    <row r="1400" ht="12.75">
      <c r="D1400" s="11"/>
    </row>
    <row r="1401" ht="12.75">
      <c r="D1401" s="11"/>
    </row>
    <row r="1402" ht="12.75">
      <c r="D1402" s="11"/>
    </row>
    <row r="1403" ht="12.75">
      <c r="D1403" s="11"/>
    </row>
    <row r="1404" ht="12.75">
      <c r="D1404" s="11"/>
    </row>
    <row r="1405" ht="12.75">
      <c r="D1405" s="11"/>
    </row>
    <row r="1406" ht="12.75">
      <c r="D1406" s="11"/>
    </row>
    <row r="1407" ht="12.75">
      <c r="D1407" s="11"/>
    </row>
    <row r="1408" ht="12.75">
      <c r="D1408" s="11"/>
    </row>
    <row r="1409" ht="12.75">
      <c r="D1409" s="11"/>
    </row>
    <row r="1410" ht="12.75">
      <c r="D1410" s="11"/>
    </row>
    <row r="1411" ht="12.75">
      <c r="D1411" s="11"/>
    </row>
    <row r="1412" ht="12.75">
      <c r="D1412" s="11"/>
    </row>
    <row r="1413" ht="12.75">
      <c r="D1413" s="11"/>
    </row>
    <row r="1414" ht="12.75">
      <c r="D1414" s="11"/>
    </row>
    <row r="1415" ht="12.75">
      <c r="D1415" s="11"/>
    </row>
    <row r="1416" ht="12.75">
      <c r="D1416" s="11"/>
    </row>
    <row r="1417" ht="12.75">
      <c r="D1417" s="11"/>
    </row>
    <row r="1418" ht="12.75">
      <c r="D1418" s="11"/>
    </row>
    <row r="1419" ht="12.75">
      <c r="D1419" s="11"/>
    </row>
    <row r="1420" ht="12.75">
      <c r="D1420" s="11"/>
    </row>
    <row r="1421" ht="12.75">
      <c r="D1421" s="11"/>
    </row>
    <row r="1422" ht="12.75">
      <c r="D1422" s="11"/>
    </row>
    <row r="1423" ht="12.75">
      <c r="D1423" s="11"/>
    </row>
    <row r="1424" ht="12.75">
      <c r="D1424" s="11"/>
    </row>
    <row r="1425" ht="12.75">
      <c r="D1425" s="11"/>
    </row>
    <row r="1426" ht="12.75">
      <c r="D1426" s="11"/>
    </row>
    <row r="1427" ht="12.75">
      <c r="D1427" s="11"/>
    </row>
    <row r="1428" ht="12.75">
      <c r="D1428" s="11"/>
    </row>
    <row r="1429" ht="12.75">
      <c r="D1429" s="11"/>
    </row>
    <row r="1430" ht="12.75">
      <c r="D1430" s="11"/>
    </row>
    <row r="1431" ht="12.75">
      <c r="D1431" s="11"/>
    </row>
    <row r="1432" ht="12.75">
      <c r="D1432" s="11"/>
    </row>
    <row r="1433" ht="12.75">
      <c r="D1433" s="11"/>
    </row>
    <row r="1434" ht="12.75">
      <c r="D1434" s="11"/>
    </row>
    <row r="1435" ht="12.75">
      <c r="D1435" s="11"/>
    </row>
    <row r="1436" ht="12.75">
      <c r="D1436" s="11"/>
    </row>
    <row r="1437" ht="12.75">
      <c r="D1437" s="11"/>
    </row>
    <row r="1438" ht="12.75">
      <c r="D1438" s="11"/>
    </row>
    <row r="1439" ht="12.75">
      <c r="D1439" s="11"/>
    </row>
    <row r="1440" ht="12.75">
      <c r="D1440" s="11"/>
    </row>
    <row r="1441" ht="12.75">
      <c r="D1441" s="11"/>
    </row>
    <row r="1442" ht="12.75">
      <c r="D1442" s="11"/>
    </row>
    <row r="1443" ht="12.75">
      <c r="D1443" s="11"/>
    </row>
    <row r="1444" ht="12.75">
      <c r="D1444" s="11"/>
    </row>
    <row r="1445" ht="12.75">
      <c r="D1445" s="11"/>
    </row>
    <row r="1446" ht="12.75">
      <c r="D1446" s="11"/>
    </row>
    <row r="1447" ht="12.75">
      <c r="D1447" s="11"/>
    </row>
    <row r="1448" ht="12.75">
      <c r="D1448" s="11"/>
    </row>
    <row r="1449" ht="12.75">
      <c r="D1449" s="11"/>
    </row>
    <row r="1450" ht="12.75">
      <c r="D1450" s="11"/>
    </row>
    <row r="1451" ht="12.75">
      <c r="D1451" s="11"/>
    </row>
    <row r="1452" ht="12.75">
      <c r="D1452" s="11"/>
    </row>
    <row r="1453" ht="12.75">
      <c r="D1453" s="11"/>
    </row>
    <row r="1454" ht="12.75">
      <c r="D1454" s="11"/>
    </row>
    <row r="1455" ht="12.75">
      <c r="D1455" s="11"/>
    </row>
    <row r="1456" ht="12.75">
      <c r="D1456" s="11"/>
    </row>
    <row r="1457" ht="12.75">
      <c r="D1457" s="11"/>
    </row>
    <row r="1458" ht="12.75">
      <c r="D1458" s="11"/>
    </row>
    <row r="1459" ht="12.75">
      <c r="D1459" s="11"/>
    </row>
    <row r="1460" ht="12.75">
      <c r="D1460" s="11"/>
    </row>
    <row r="1461" ht="12.75">
      <c r="D1461" s="11"/>
    </row>
    <row r="1462" ht="12.75">
      <c r="D1462" s="11"/>
    </row>
    <row r="1463" ht="12.75">
      <c r="D1463" s="11"/>
    </row>
    <row r="1464" ht="12.75">
      <c r="D1464" s="11"/>
    </row>
    <row r="1465" ht="12.75">
      <c r="D1465" s="11"/>
    </row>
    <row r="1466" ht="12.75">
      <c r="D1466" s="11"/>
    </row>
    <row r="1467" ht="12.75">
      <c r="D1467" s="11"/>
    </row>
    <row r="1468" ht="12.75">
      <c r="D1468" s="11"/>
    </row>
    <row r="1469" ht="12.75">
      <c r="D1469" s="11"/>
    </row>
    <row r="1470" ht="12.75">
      <c r="D1470" s="11"/>
    </row>
    <row r="1471" ht="12.75">
      <c r="D1471" s="11"/>
    </row>
    <row r="1472" ht="12.75">
      <c r="D1472" s="11"/>
    </row>
    <row r="1473" ht="12.75">
      <c r="D1473" s="11"/>
    </row>
    <row r="1474" ht="12.75">
      <c r="D1474" s="11"/>
    </row>
    <row r="1475" ht="12.75">
      <c r="D1475" s="11"/>
    </row>
    <row r="1476" ht="12.75">
      <c r="D1476" s="11"/>
    </row>
    <row r="1477" ht="12.75">
      <c r="D1477" s="11"/>
    </row>
    <row r="1478" ht="12.75">
      <c r="D1478" s="11"/>
    </row>
    <row r="1479" ht="12.75">
      <c r="D1479" s="11"/>
    </row>
    <row r="1480" ht="12.75">
      <c r="D1480" s="11"/>
    </row>
    <row r="1481" ht="12.75">
      <c r="D1481" s="11"/>
    </row>
    <row r="1482" ht="12.75">
      <c r="D1482" s="11"/>
    </row>
    <row r="1483" ht="12.75">
      <c r="D1483" s="11"/>
    </row>
    <row r="1484" ht="12.75">
      <c r="D1484" s="11"/>
    </row>
    <row r="1485" ht="12.75">
      <c r="D1485" s="11"/>
    </row>
    <row r="1486" ht="12.75">
      <c r="D1486" s="11"/>
    </row>
    <row r="1487" ht="12.75">
      <c r="D1487" s="11"/>
    </row>
    <row r="1488" ht="12.75">
      <c r="D1488" s="11"/>
    </row>
    <row r="1489" ht="12.75">
      <c r="D1489" s="11"/>
    </row>
    <row r="1490" ht="12.75">
      <c r="D1490" s="11"/>
    </row>
    <row r="1491" ht="12.75">
      <c r="D1491" s="11"/>
    </row>
    <row r="1492" ht="12.75">
      <c r="D1492" s="11"/>
    </row>
    <row r="1493" ht="12.75">
      <c r="D1493" s="11"/>
    </row>
    <row r="1494" ht="12.75">
      <c r="D1494" s="11"/>
    </row>
    <row r="1495" ht="12.75">
      <c r="D1495" s="11"/>
    </row>
    <row r="1496" ht="12.75">
      <c r="D1496" s="11"/>
    </row>
    <row r="1497" ht="12.75">
      <c r="D1497" s="11"/>
    </row>
    <row r="1498" ht="12.75">
      <c r="D1498" s="11"/>
    </row>
    <row r="1499" ht="12.75">
      <c r="D1499" s="11"/>
    </row>
    <row r="1500" ht="12.75">
      <c r="D1500" s="11"/>
    </row>
    <row r="1501" ht="12.75">
      <c r="D1501" s="11"/>
    </row>
    <row r="1502" ht="12.75">
      <c r="D1502" s="11"/>
    </row>
    <row r="1503" ht="12.75">
      <c r="D1503" s="11"/>
    </row>
    <row r="1504" ht="12.75">
      <c r="D1504" s="11"/>
    </row>
    <row r="1505" ht="12.75">
      <c r="D1505" s="11"/>
    </row>
    <row r="1506" ht="12.75">
      <c r="D1506" s="11"/>
    </row>
    <row r="1507" ht="12.75">
      <c r="D1507" s="11"/>
    </row>
    <row r="1508" ht="12.75">
      <c r="D1508" s="11"/>
    </row>
    <row r="1509" ht="12.75">
      <c r="D1509" s="11"/>
    </row>
    <row r="1510" ht="12.75">
      <c r="D1510" s="11"/>
    </row>
    <row r="1511" ht="12.75">
      <c r="D1511" s="11"/>
    </row>
    <row r="1512" ht="12.75">
      <c r="D1512" s="11"/>
    </row>
    <row r="1513" ht="12.75">
      <c r="D1513" s="11"/>
    </row>
    <row r="1514" ht="12.75">
      <c r="D1514" s="11"/>
    </row>
    <row r="1515" ht="12.75">
      <c r="D1515" s="11"/>
    </row>
    <row r="1516" ht="12.75">
      <c r="D1516" s="11"/>
    </row>
    <row r="1517" ht="12.75">
      <c r="D1517" s="11"/>
    </row>
    <row r="1518" ht="12.75">
      <c r="D1518" s="11"/>
    </row>
    <row r="1519" ht="12.75">
      <c r="D1519" s="11"/>
    </row>
    <row r="1520" ht="12.75">
      <c r="D1520" s="11"/>
    </row>
    <row r="1521" ht="12.75">
      <c r="D1521" s="11"/>
    </row>
    <row r="1522" ht="12.75">
      <c r="D1522" s="11"/>
    </row>
    <row r="1523" ht="12.75">
      <c r="D1523" s="11"/>
    </row>
    <row r="1524" ht="12.75">
      <c r="D1524" s="11"/>
    </row>
    <row r="1525" ht="12.75">
      <c r="D1525" s="11"/>
    </row>
    <row r="1526" ht="12.75">
      <c r="D1526" s="11"/>
    </row>
    <row r="1527" ht="12.75">
      <c r="D1527" s="11"/>
    </row>
    <row r="1528" ht="12.75">
      <c r="D1528" s="11"/>
    </row>
    <row r="1529" ht="12.75">
      <c r="D1529" s="11"/>
    </row>
    <row r="1530" ht="12.75">
      <c r="D1530" s="11"/>
    </row>
    <row r="1531" ht="12.75">
      <c r="D1531" s="11"/>
    </row>
    <row r="1532" ht="12.75">
      <c r="D1532" s="11"/>
    </row>
    <row r="1533" ht="12.75">
      <c r="D1533" s="11"/>
    </row>
    <row r="1534" ht="12.75">
      <c r="D1534" s="11"/>
    </row>
    <row r="1535" ht="12.75">
      <c r="D1535" s="11"/>
    </row>
    <row r="1536" ht="12.75">
      <c r="D1536" s="11"/>
    </row>
    <row r="1537" ht="12.75">
      <c r="D1537" s="11"/>
    </row>
    <row r="1538" ht="12.75">
      <c r="D1538" s="11"/>
    </row>
    <row r="1539" ht="12.75">
      <c r="D1539" s="11"/>
    </row>
    <row r="1540" ht="12.75">
      <c r="D1540" s="11"/>
    </row>
    <row r="1541" ht="12.75">
      <c r="D1541" s="11"/>
    </row>
    <row r="1542" ht="12.75">
      <c r="D1542" s="11"/>
    </row>
    <row r="1543" ht="12.75">
      <c r="D1543" s="11"/>
    </row>
    <row r="1544" ht="12.75">
      <c r="D1544" s="11"/>
    </row>
    <row r="1545" ht="12.75">
      <c r="D1545" s="11"/>
    </row>
    <row r="1546" ht="12.75">
      <c r="D1546" s="11"/>
    </row>
    <row r="1547" ht="12.75">
      <c r="D1547" s="11"/>
    </row>
    <row r="1548" ht="12.75">
      <c r="D1548" s="11"/>
    </row>
    <row r="1549" ht="12.75">
      <c r="D1549" s="11"/>
    </row>
    <row r="1550" ht="12.75">
      <c r="D1550" s="11"/>
    </row>
    <row r="1551" ht="12.75">
      <c r="D1551" s="11"/>
    </row>
    <row r="1552" ht="12.75">
      <c r="D1552" s="11"/>
    </row>
    <row r="1553" ht="12.75">
      <c r="D1553" s="11"/>
    </row>
    <row r="1554" ht="12.75">
      <c r="D1554" s="11"/>
    </row>
    <row r="1555" ht="12.75">
      <c r="D1555" s="11"/>
    </row>
    <row r="1556" ht="12.75">
      <c r="D1556" s="11"/>
    </row>
    <row r="1557" ht="12.75">
      <c r="D1557" s="11"/>
    </row>
    <row r="1558" ht="12.75">
      <c r="D1558" s="11"/>
    </row>
    <row r="1559" ht="12.75">
      <c r="D1559" s="11"/>
    </row>
    <row r="1560" ht="12.75">
      <c r="D1560" s="11"/>
    </row>
    <row r="1561" ht="12.75">
      <c r="D1561" s="11"/>
    </row>
    <row r="1562" ht="12.75">
      <c r="D1562" s="11"/>
    </row>
    <row r="1563" ht="12.75">
      <c r="D1563" s="11"/>
    </row>
    <row r="1564" ht="12.75">
      <c r="D1564" s="11"/>
    </row>
    <row r="1565" ht="12.75">
      <c r="D1565" s="11"/>
    </row>
    <row r="1566" ht="12.75">
      <c r="D1566" s="11"/>
    </row>
    <row r="1567" ht="12.75">
      <c r="D1567" s="11"/>
    </row>
    <row r="1568" ht="12.75">
      <c r="D1568" s="11"/>
    </row>
    <row r="1569" ht="12.75">
      <c r="D1569" s="11"/>
    </row>
    <row r="1570" ht="12.75">
      <c r="D1570" s="11"/>
    </row>
    <row r="1571" ht="12.75">
      <c r="D1571" s="11"/>
    </row>
    <row r="1572" ht="12.75">
      <c r="D1572" s="11"/>
    </row>
    <row r="1573" ht="12.75">
      <c r="D1573" s="11"/>
    </row>
    <row r="1574" ht="12.75">
      <c r="D1574" s="11"/>
    </row>
    <row r="1575" ht="12.75">
      <c r="D1575" s="11"/>
    </row>
    <row r="1576" ht="12.75">
      <c r="D1576" s="11"/>
    </row>
    <row r="1577" ht="12.75">
      <c r="D1577" s="11"/>
    </row>
    <row r="1578" ht="12.75">
      <c r="D1578" s="11"/>
    </row>
    <row r="1579" ht="12.75">
      <c r="D1579" s="11"/>
    </row>
    <row r="1580" ht="12.75">
      <c r="D1580" s="11"/>
    </row>
    <row r="1581" ht="12.75">
      <c r="D1581" s="11"/>
    </row>
    <row r="1582" ht="12.75">
      <c r="D1582" s="11"/>
    </row>
    <row r="1583" ht="12.75">
      <c r="D1583" s="11"/>
    </row>
    <row r="1584" ht="12.75">
      <c r="D1584" s="11"/>
    </row>
    <row r="1585" ht="12.75">
      <c r="D1585" s="11"/>
    </row>
    <row r="1586" ht="12.75">
      <c r="D1586" s="11"/>
    </row>
    <row r="1587" ht="12.75">
      <c r="D1587" s="11"/>
    </row>
    <row r="1588" ht="12.75">
      <c r="D1588" s="11"/>
    </row>
    <row r="1589" ht="12.75">
      <c r="D1589" s="11"/>
    </row>
    <row r="1590" ht="12.75">
      <c r="D1590" s="11"/>
    </row>
    <row r="1591" ht="12.75">
      <c r="D1591" s="11"/>
    </row>
    <row r="1592" ht="12.75">
      <c r="D1592" s="11"/>
    </row>
    <row r="1593" ht="12.75">
      <c r="D1593" s="11"/>
    </row>
    <row r="1594" ht="12.75">
      <c r="D1594" s="11"/>
    </row>
    <row r="1595" ht="12.75">
      <c r="D1595" s="11"/>
    </row>
    <row r="1596" ht="12.75">
      <c r="D1596" s="11"/>
    </row>
    <row r="1597" ht="12.75">
      <c r="D1597" s="11"/>
    </row>
    <row r="1598" ht="12.75">
      <c r="D1598" s="11"/>
    </row>
    <row r="1599" ht="12.75">
      <c r="D1599" s="11"/>
    </row>
    <row r="1600" ht="12.75">
      <c r="D1600" s="11"/>
    </row>
    <row r="1601" ht="12.75">
      <c r="D1601" s="11"/>
    </row>
    <row r="1602" ht="12.75">
      <c r="D1602" s="11"/>
    </row>
    <row r="1603" ht="12.75">
      <c r="D1603" s="11"/>
    </row>
    <row r="1604" ht="12.75">
      <c r="D1604" s="11"/>
    </row>
    <row r="1605" ht="12.75">
      <c r="D1605" s="11"/>
    </row>
    <row r="1606" ht="12.75">
      <c r="D1606" s="11"/>
    </row>
    <row r="1607" ht="12.75">
      <c r="D1607" s="11"/>
    </row>
    <row r="1608" ht="12.75">
      <c r="D1608" s="11"/>
    </row>
    <row r="1609" ht="12.75">
      <c r="D1609" s="11"/>
    </row>
    <row r="1610" ht="12.75">
      <c r="D1610" s="11"/>
    </row>
    <row r="1611" ht="12.75">
      <c r="D1611" s="11"/>
    </row>
    <row r="1612" ht="12.75">
      <c r="D1612" s="11"/>
    </row>
    <row r="1613" ht="12.75">
      <c r="D1613" s="11"/>
    </row>
    <row r="1614" ht="12.75">
      <c r="D1614" s="11"/>
    </row>
    <row r="1615" ht="12.75">
      <c r="D1615" s="11"/>
    </row>
    <row r="1616" ht="12.75">
      <c r="D1616" s="11"/>
    </row>
    <row r="1617" ht="12.75">
      <c r="D1617" s="11"/>
    </row>
    <row r="1618" ht="12.75">
      <c r="D1618" s="11"/>
    </row>
    <row r="1619" ht="12.75">
      <c r="D1619" s="11"/>
    </row>
    <row r="1620" ht="12.75">
      <c r="D1620" s="11"/>
    </row>
    <row r="1621" ht="12.75">
      <c r="D1621" s="11"/>
    </row>
    <row r="1622" ht="12.75">
      <c r="D1622" s="11"/>
    </row>
    <row r="1623" ht="12.75">
      <c r="D1623" s="11"/>
    </row>
    <row r="1624" ht="12.75">
      <c r="D1624" s="11"/>
    </row>
    <row r="1625" ht="12.75">
      <c r="D1625" s="11"/>
    </row>
    <row r="1626" ht="12.75">
      <c r="D1626" s="11"/>
    </row>
    <row r="1627" ht="12.75">
      <c r="D1627" s="11"/>
    </row>
    <row r="1628" ht="12.75">
      <c r="D1628" s="11"/>
    </row>
    <row r="1629" ht="12.75">
      <c r="D1629" s="11"/>
    </row>
    <row r="1630" ht="12.75">
      <c r="D1630" s="11"/>
    </row>
    <row r="1631" ht="12.75">
      <c r="D1631" s="11"/>
    </row>
    <row r="1632" ht="12.75">
      <c r="D1632" s="11"/>
    </row>
    <row r="1633" ht="12.75">
      <c r="D1633" s="11"/>
    </row>
    <row r="1634" ht="12.75">
      <c r="D1634" s="11"/>
    </row>
    <row r="1635" ht="12.75">
      <c r="D1635" s="11"/>
    </row>
    <row r="1636" ht="12.75">
      <c r="D1636" s="11"/>
    </row>
    <row r="1637" ht="12.75">
      <c r="D1637" s="11"/>
    </row>
    <row r="1638" ht="12.75">
      <c r="D1638" s="11"/>
    </row>
    <row r="1639" ht="12.75">
      <c r="D1639" s="11"/>
    </row>
    <row r="1640" ht="12.75">
      <c r="D1640" s="11"/>
    </row>
    <row r="1641" ht="12.75">
      <c r="D1641" s="11"/>
    </row>
    <row r="1642" ht="12.75">
      <c r="D1642" s="11"/>
    </row>
    <row r="1643" ht="12.75">
      <c r="D1643" s="11"/>
    </row>
    <row r="1644" ht="12.75">
      <c r="D1644" s="11"/>
    </row>
    <row r="1645" ht="12.75">
      <c r="D1645" s="11"/>
    </row>
    <row r="1646" ht="12.75">
      <c r="D1646" s="11"/>
    </row>
    <row r="1647" ht="12.75">
      <c r="D1647" s="11"/>
    </row>
    <row r="1648" ht="12.75">
      <c r="D1648" s="11"/>
    </row>
    <row r="1649" ht="12.75">
      <c r="D1649" s="11"/>
    </row>
    <row r="1650" ht="12.75">
      <c r="D1650" s="11"/>
    </row>
    <row r="1651" ht="12.75">
      <c r="D1651" s="11"/>
    </row>
    <row r="1652" ht="12.75">
      <c r="D1652" s="11"/>
    </row>
    <row r="1653" ht="12.75">
      <c r="D1653" s="11"/>
    </row>
    <row r="1654" ht="12.75">
      <c r="D1654" s="11"/>
    </row>
    <row r="1655" ht="12.75">
      <c r="D1655" s="11"/>
    </row>
    <row r="1656" ht="12.75">
      <c r="D1656" s="11"/>
    </row>
    <row r="1657" ht="12.75">
      <c r="D1657" s="11"/>
    </row>
    <row r="1658" ht="12.75">
      <c r="D1658" s="11"/>
    </row>
    <row r="1659" ht="12.75">
      <c r="D1659" s="11"/>
    </row>
    <row r="1660" ht="12.75">
      <c r="D1660" s="11"/>
    </row>
    <row r="1661" ht="12.75">
      <c r="D1661" s="11"/>
    </row>
    <row r="1662" ht="12.75">
      <c r="D1662" s="11"/>
    </row>
    <row r="1663" ht="12.75">
      <c r="D1663" s="11"/>
    </row>
    <row r="1664" ht="12.75">
      <c r="D1664" s="11"/>
    </row>
    <row r="1665" ht="12.75">
      <c r="D1665" s="11"/>
    </row>
    <row r="1666" ht="12.75">
      <c r="D1666" s="11"/>
    </row>
    <row r="1667" ht="12.75">
      <c r="D1667" s="11"/>
    </row>
    <row r="1668" ht="12.75">
      <c r="D1668" s="11"/>
    </row>
    <row r="1669" ht="12.75">
      <c r="D1669" s="11"/>
    </row>
    <row r="1670" ht="12.75">
      <c r="D1670" s="11"/>
    </row>
    <row r="1671" ht="12.75">
      <c r="D1671" s="11"/>
    </row>
    <row r="1672" ht="12.75">
      <c r="D1672" s="11"/>
    </row>
    <row r="1673" ht="12.75">
      <c r="D1673" s="11"/>
    </row>
    <row r="1674" ht="12.75">
      <c r="D1674" s="11"/>
    </row>
    <row r="1675" ht="12.75">
      <c r="D1675" s="11"/>
    </row>
    <row r="1676" ht="12.75">
      <c r="D1676" s="11"/>
    </row>
    <row r="1677" ht="12.75">
      <c r="D1677" s="11"/>
    </row>
    <row r="1678" ht="12.75">
      <c r="D1678" s="11"/>
    </row>
    <row r="1679" ht="12.75">
      <c r="D1679" s="11"/>
    </row>
    <row r="1680" ht="12.75">
      <c r="D1680" s="11"/>
    </row>
    <row r="1681" ht="12.75">
      <c r="D1681" s="11"/>
    </row>
    <row r="1682" ht="12.75">
      <c r="D1682" s="11"/>
    </row>
    <row r="1683" ht="12.75">
      <c r="D1683" s="11"/>
    </row>
    <row r="1684" ht="12.75">
      <c r="D1684" s="11"/>
    </row>
    <row r="1685" ht="12.75">
      <c r="D1685" s="11"/>
    </row>
    <row r="1686" ht="12.75">
      <c r="D1686" s="11"/>
    </row>
    <row r="1687" ht="12.75">
      <c r="D1687" s="11"/>
    </row>
    <row r="1688" ht="12.75">
      <c r="D1688" s="11"/>
    </row>
    <row r="1689" ht="12.75">
      <c r="D1689" s="11"/>
    </row>
    <row r="1690" ht="12.75">
      <c r="D1690" s="11"/>
    </row>
    <row r="1691" ht="12.75">
      <c r="D1691" s="11"/>
    </row>
    <row r="1692" ht="12.75">
      <c r="D1692" s="11"/>
    </row>
    <row r="1693" ht="12.75">
      <c r="D1693" s="11"/>
    </row>
    <row r="1694" ht="12.75">
      <c r="D1694" s="11"/>
    </row>
    <row r="1695" ht="12.75">
      <c r="D1695" s="11"/>
    </row>
    <row r="1696" ht="12.75">
      <c r="D1696" s="11"/>
    </row>
    <row r="1697" ht="12.75">
      <c r="D1697" s="11"/>
    </row>
    <row r="1698" ht="12.75">
      <c r="D1698" s="11"/>
    </row>
    <row r="1699" ht="12.75">
      <c r="D1699" s="11"/>
    </row>
    <row r="1700" ht="12.75">
      <c r="D1700" s="11"/>
    </row>
    <row r="1701" ht="12.75">
      <c r="D1701" s="11"/>
    </row>
    <row r="1702" ht="12.75">
      <c r="D1702" s="11"/>
    </row>
    <row r="1703" ht="12.75">
      <c r="D1703" s="11"/>
    </row>
    <row r="1704" ht="12.75">
      <c r="D1704" s="11"/>
    </row>
    <row r="1705" ht="12.75">
      <c r="D1705" s="11"/>
    </row>
    <row r="1706" ht="12.75">
      <c r="D1706" s="11"/>
    </row>
    <row r="1707" ht="12.75">
      <c r="D1707" s="11"/>
    </row>
    <row r="1708" ht="12.75">
      <c r="D1708" s="11"/>
    </row>
    <row r="1709" ht="12.75">
      <c r="D1709" s="11"/>
    </row>
    <row r="1710" ht="12.75">
      <c r="D1710" s="11"/>
    </row>
    <row r="1711" ht="12.75">
      <c r="D1711" s="11"/>
    </row>
    <row r="1712" ht="12.75">
      <c r="D1712" s="11"/>
    </row>
    <row r="1713" ht="12.75">
      <c r="D1713" s="11"/>
    </row>
    <row r="1714" ht="12.75">
      <c r="D1714" s="11"/>
    </row>
    <row r="1715" ht="12.75">
      <c r="D1715" s="11"/>
    </row>
    <row r="1716" ht="12.75">
      <c r="D1716" s="11"/>
    </row>
    <row r="1717" ht="12.75">
      <c r="D1717" s="11"/>
    </row>
    <row r="1718" ht="12.75">
      <c r="D1718" s="11"/>
    </row>
    <row r="1719" ht="12.75">
      <c r="D1719" s="11"/>
    </row>
    <row r="1720" ht="12.75">
      <c r="D1720" s="11"/>
    </row>
    <row r="1721" ht="12.75">
      <c r="D1721" s="11"/>
    </row>
    <row r="1722" ht="12.75">
      <c r="D1722" s="11"/>
    </row>
    <row r="1723" ht="12.75">
      <c r="D1723" s="11"/>
    </row>
    <row r="1724" ht="12.75">
      <c r="D1724" s="11"/>
    </row>
    <row r="1725" ht="12.75">
      <c r="D1725" s="11"/>
    </row>
    <row r="1726" ht="12.75">
      <c r="D1726" s="11"/>
    </row>
    <row r="1727" ht="12.75">
      <c r="D1727" s="11"/>
    </row>
    <row r="1728" ht="12.75">
      <c r="D1728" s="11"/>
    </row>
    <row r="1729" ht="12.75">
      <c r="D1729" s="11"/>
    </row>
    <row r="1730" ht="12.75">
      <c r="D1730" s="11"/>
    </row>
    <row r="1731" ht="12.75">
      <c r="D1731" s="11"/>
    </row>
    <row r="1732" ht="12.75">
      <c r="D1732" s="11"/>
    </row>
    <row r="1733" ht="12.75">
      <c r="D1733" s="11"/>
    </row>
    <row r="1734" ht="12.75">
      <c r="D1734" s="11"/>
    </row>
    <row r="1735" ht="12.75">
      <c r="D1735" s="11"/>
    </row>
    <row r="1736" ht="12.75">
      <c r="D1736" s="11"/>
    </row>
    <row r="1737" ht="12.75">
      <c r="D1737" s="11"/>
    </row>
    <row r="1738" ht="12.75">
      <c r="D1738" s="11"/>
    </row>
    <row r="1739" ht="12.75">
      <c r="D1739" s="11"/>
    </row>
    <row r="1740" ht="12.75">
      <c r="D1740" s="11"/>
    </row>
    <row r="1741" ht="12.75">
      <c r="D1741" s="11"/>
    </row>
    <row r="1742" ht="12.75">
      <c r="D1742" s="11"/>
    </row>
    <row r="1743" ht="12.75">
      <c r="D1743" s="11"/>
    </row>
    <row r="1744" ht="12.75">
      <c r="D1744" s="11"/>
    </row>
    <row r="1745" ht="12.75">
      <c r="D1745" s="11"/>
    </row>
    <row r="1746" ht="12.75">
      <c r="D1746" s="11"/>
    </row>
    <row r="1747" ht="12.75">
      <c r="D1747" s="11"/>
    </row>
    <row r="1748" ht="12.75">
      <c r="D1748" s="11"/>
    </row>
    <row r="1749" ht="12.75">
      <c r="D1749" s="11"/>
    </row>
    <row r="1750" ht="12.75">
      <c r="D1750" s="11"/>
    </row>
    <row r="1751" ht="12.75">
      <c r="D1751" s="11"/>
    </row>
    <row r="1752" ht="12.75">
      <c r="D1752" s="11"/>
    </row>
    <row r="1753" ht="12.75">
      <c r="D1753" s="11"/>
    </row>
    <row r="1754" ht="12.75">
      <c r="D1754" s="11"/>
    </row>
    <row r="1755" ht="12.75">
      <c r="D1755" s="11"/>
    </row>
    <row r="1756" ht="12.75">
      <c r="D1756" s="11"/>
    </row>
    <row r="1757" ht="12.75">
      <c r="D1757" s="11"/>
    </row>
    <row r="1758" ht="12.75">
      <c r="D1758" s="11"/>
    </row>
    <row r="1759" ht="12.75">
      <c r="D1759" s="11"/>
    </row>
    <row r="1760" ht="12.75">
      <c r="D1760" s="11"/>
    </row>
    <row r="1761" ht="12.75">
      <c r="D1761" s="11"/>
    </row>
    <row r="1762" ht="12.75">
      <c r="D1762" s="11"/>
    </row>
    <row r="1763" ht="12.75">
      <c r="D1763" s="11"/>
    </row>
    <row r="1764" ht="12.75">
      <c r="D1764" s="11"/>
    </row>
    <row r="1765" ht="12.75">
      <c r="D1765" s="11"/>
    </row>
    <row r="1766" ht="12.75">
      <c r="D1766" s="11"/>
    </row>
    <row r="1767" ht="12.75">
      <c r="D1767" s="11"/>
    </row>
    <row r="1768" ht="12.75">
      <c r="D1768" s="11"/>
    </row>
    <row r="1769" ht="12.75">
      <c r="D1769" s="11"/>
    </row>
    <row r="1770" ht="12.75">
      <c r="D1770" s="11"/>
    </row>
    <row r="1771" ht="12.75">
      <c r="D1771" s="11"/>
    </row>
    <row r="1772" ht="12.75">
      <c r="D1772" s="11"/>
    </row>
    <row r="1773" ht="12.75">
      <c r="D1773" s="11"/>
    </row>
    <row r="1774" ht="12.75">
      <c r="D1774" s="11"/>
    </row>
    <row r="1775" ht="12.75">
      <c r="D1775" s="11"/>
    </row>
    <row r="1776" ht="12.75">
      <c r="D1776" s="11"/>
    </row>
    <row r="1777" ht="12.75">
      <c r="D1777" s="11"/>
    </row>
    <row r="1778" ht="12.75">
      <c r="D1778" s="11"/>
    </row>
    <row r="1779" ht="12.75">
      <c r="D1779" s="11"/>
    </row>
    <row r="1780" ht="12.75">
      <c r="D1780" s="11"/>
    </row>
    <row r="1781" ht="12.75">
      <c r="D1781" s="11"/>
    </row>
    <row r="1782" ht="12.75">
      <c r="D1782" s="11"/>
    </row>
    <row r="1783" ht="12.75">
      <c r="D1783" s="11"/>
    </row>
    <row r="1784" ht="12.75">
      <c r="D1784" s="11"/>
    </row>
    <row r="1785" ht="12.75">
      <c r="D1785" s="11"/>
    </row>
    <row r="1786" ht="12.75">
      <c r="D1786" s="11"/>
    </row>
    <row r="1787" ht="12.75">
      <c r="D1787" s="11"/>
    </row>
    <row r="1788" ht="12.75">
      <c r="D1788" s="11"/>
    </row>
    <row r="1789" ht="12.75">
      <c r="D1789" s="11"/>
    </row>
    <row r="1790" ht="12.75">
      <c r="D1790" s="11"/>
    </row>
    <row r="1791" ht="12.75">
      <c r="D1791" s="11"/>
    </row>
    <row r="1792" ht="12.75">
      <c r="D1792" s="11"/>
    </row>
    <row r="1793" ht="12.75">
      <c r="D1793" s="11"/>
    </row>
    <row r="1794" ht="12.75">
      <c r="D1794" s="11"/>
    </row>
    <row r="1795" ht="12.75">
      <c r="D1795" s="11"/>
    </row>
    <row r="1796" ht="12.75">
      <c r="D1796" s="11"/>
    </row>
    <row r="1797" ht="12.75">
      <c r="D1797" s="11"/>
    </row>
    <row r="1798" ht="12.75">
      <c r="D1798" s="11"/>
    </row>
    <row r="1799" ht="12.75">
      <c r="D1799" s="11"/>
    </row>
    <row r="1800" ht="12.75">
      <c r="D1800" s="11"/>
    </row>
    <row r="1801" ht="12.75">
      <c r="D1801" s="11"/>
    </row>
    <row r="1802" ht="12.75">
      <c r="D1802" s="11"/>
    </row>
    <row r="1803" ht="12.75">
      <c r="D1803" s="11"/>
    </row>
    <row r="1804" ht="12.75">
      <c r="D1804" s="11"/>
    </row>
    <row r="1805" ht="12.75">
      <c r="D1805" s="11"/>
    </row>
    <row r="1806" ht="12.75">
      <c r="D1806" s="11"/>
    </row>
    <row r="1807" ht="12.75">
      <c r="D1807" s="11"/>
    </row>
    <row r="1808" ht="12.75">
      <c r="D1808" s="11"/>
    </row>
    <row r="1809" ht="12.75">
      <c r="D1809" s="11"/>
    </row>
    <row r="1810" ht="12.75">
      <c r="D1810" s="11"/>
    </row>
    <row r="1811" ht="12.75">
      <c r="D1811" s="11"/>
    </row>
    <row r="1812" ht="12.75">
      <c r="D1812" s="11"/>
    </row>
    <row r="1813" ht="12.75">
      <c r="D1813" s="11"/>
    </row>
    <row r="1814" ht="12.75">
      <c r="D1814" s="11"/>
    </row>
    <row r="1815" ht="12.75">
      <c r="D1815" s="11"/>
    </row>
    <row r="1816" ht="12.75">
      <c r="D1816" s="11"/>
    </row>
    <row r="1817" ht="12.75">
      <c r="D1817" s="11"/>
    </row>
    <row r="1818" ht="12.75">
      <c r="D1818" s="11"/>
    </row>
    <row r="1819" ht="12.75">
      <c r="D1819" s="11"/>
    </row>
    <row r="1820" ht="12.75">
      <c r="D1820" s="11"/>
    </row>
    <row r="1821" ht="12.75">
      <c r="D1821" s="11"/>
    </row>
    <row r="1822" ht="12.75">
      <c r="D1822" s="11"/>
    </row>
    <row r="1823" ht="12.75">
      <c r="D1823" s="11"/>
    </row>
    <row r="1824" ht="12.75">
      <c r="D1824" s="11"/>
    </row>
    <row r="1825" ht="12.75">
      <c r="D1825" s="11"/>
    </row>
    <row r="1826" ht="12.75">
      <c r="D1826" s="11"/>
    </row>
    <row r="1827" ht="12.75">
      <c r="D1827" s="11"/>
    </row>
    <row r="1828" ht="12.75">
      <c r="D1828" s="11"/>
    </row>
    <row r="1829" ht="12.75">
      <c r="D1829" s="11"/>
    </row>
    <row r="1830" ht="12.75">
      <c r="D1830" s="11"/>
    </row>
    <row r="1831" ht="12.75">
      <c r="D1831" s="11"/>
    </row>
    <row r="1832" ht="12.75">
      <c r="D1832" s="11"/>
    </row>
    <row r="1833" ht="12.75">
      <c r="D1833" s="11"/>
    </row>
    <row r="1834" ht="12.75">
      <c r="D1834" s="11"/>
    </row>
    <row r="1835" ht="12.75">
      <c r="D1835" s="11"/>
    </row>
    <row r="1836" ht="12.75">
      <c r="D1836" s="11"/>
    </row>
    <row r="1837" ht="12.75">
      <c r="D1837" s="11"/>
    </row>
    <row r="1838" ht="12.75">
      <c r="D1838" s="11"/>
    </row>
    <row r="1839" ht="12.75">
      <c r="D1839" s="11"/>
    </row>
    <row r="1840" ht="12.75">
      <c r="D1840" s="11"/>
    </row>
    <row r="1841" ht="12.75">
      <c r="D1841" s="11"/>
    </row>
    <row r="1842" ht="12.75">
      <c r="D1842" s="11"/>
    </row>
    <row r="1843" ht="12.75">
      <c r="D1843" s="11"/>
    </row>
    <row r="1844" ht="12.75">
      <c r="D1844" s="11"/>
    </row>
    <row r="1845" ht="12.75">
      <c r="D1845" s="11"/>
    </row>
    <row r="1846" ht="12.75">
      <c r="D1846" s="11"/>
    </row>
    <row r="1847" ht="12.75">
      <c r="D1847" s="11"/>
    </row>
    <row r="1848" ht="12.75">
      <c r="D1848" s="11"/>
    </row>
    <row r="1849" ht="12.75">
      <c r="D1849" s="11"/>
    </row>
    <row r="1850" ht="12.75">
      <c r="D1850" s="11"/>
    </row>
    <row r="1851" ht="12.75">
      <c r="D1851" s="11"/>
    </row>
    <row r="1852" ht="12.75">
      <c r="D1852" s="11"/>
    </row>
    <row r="1853" ht="12.75">
      <c r="D1853" s="11"/>
    </row>
    <row r="1854" ht="12.75">
      <c r="D1854" s="11"/>
    </row>
    <row r="1855" ht="12.75">
      <c r="D1855" s="11"/>
    </row>
    <row r="1856" ht="12.75">
      <c r="D1856" s="11"/>
    </row>
    <row r="1857" ht="12.75">
      <c r="D1857" s="11"/>
    </row>
    <row r="1858" ht="12.75">
      <c r="D1858" s="11"/>
    </row>
    <row r="1859" ht="12.75">
      <c r="D1859" s="11"/>
    </row>
    <row r="1860" ht="12.75">
      <c r="D1860" s="11"/>
    </row>
    <row r="1861" ht="12.75">
      <c r="D1861" s="11"/>
    </row>
    <row r="1862" ht="12.75">
      <c r="D1862" s="11"/>
    </row>
    <row r="1863" ht="12.75">
      <c r="D1863" s="11"/>
    </row>
    <row r="1864" ht="12.75">
      <c r="D1864" s="11"/>
    </row>
    <row r="1865" ht="12.75">
      <c r="D1865" s="11"/>
    </row>
    <row r="1866" ht="12.75">
      <c r="D1866" s="11"/>
    </row>
    <row r="1867" ht="12.75">
      <c r="D1867" s="11"/>
    </row>
    <row r="1868" ht="12.75">
      <c r="D1868" s="11"/>
    </row>
    <row r="1869" ht="12.75">
      <c r="D1869" s="11"/>
    </row>
    <row r="1870" ht="12.75">
      <c r="D1870" s="11"/>
    </row>
    <row r="1871" ht="12.75">
      <c r="D1871" s="11"/>
    </row>
    <row r="1872" ht="12.75">
      <c r="D1872" s="11"/>
    </row>
    <row r="1873" ht="12.75">
      <c r="D1873" s="11"/>
    </row>
    <row r="1874" ht="12.75">
      <c r="D1874" s="11"/>
    </row>
    <row r="1875" ht="12.75">
      <c r="D1875" s="11"/>
    </row>
    <row r="1876" ht="12.75">
      <c r="D1876" s="11"/>
    </row>
    <row r="1877" ht="12.75">
      <c r="D1877" s="11"/>
    </row>
    <row r="1878" ht="12.75">
      <c r="D1878" s="11"/>
    </row>
    <row r="1879" ht="12.75">
      <c r="D1879" s="11"/>
    </row>
    <row r="1880" ht="12.75">
      <c r="D1880" s="11"/>
    </row>
    <row r="1881" ht="12.75">
      <c r="D1881" s="11"/>
    </row>
    <row r="1882" ht="12.75">
      <c r="D1882" s="11"/>
    </row>
    <row r="1883" ht="12.75">
      <c r="D1883" s="11"/>
    </row>
    <row r="1884" ht="12.75">
      <c r="D1884" s="11"/>
    </row>
    <row r="1885" ht="12.75">
      <c r="D1885" s="11"/>
    </row>
    <row r="1886" ht="12.75">
      <c r="D1886" s="11"/>
    </row>
    <row r="1887" ht="12.75">
      <c r="D1887" s="11"/>
    </row>
    <row r="1888" ht="12.75">
      <c r="D1888" s="11"/>
    </row>
    <row r="1889" ht="12.75">
      <c r="D1889" s="11"/>
    </row>
    <row r="1890" ht="12.75">
      <c r="D1890" s="11"/>
    </row>
    <row r="1891" ht="12.75">
      <c r="D1891" s="11"/>
    </row>
    <row r="1892" ht="12.75">
      <c r="D1892" s="11"/>
    </row>
    <row r="1893" ht="12.75">
      <c r="D1893" s="11"/>
    </row>
    <row r="1894" ht="12.75">
      <c r="D1894" s="11"/>
    </row>
    <row r="1895" ht="12.75">
      <c r="D1895" s="11"/>
    </row>
    <row r="1896" ht="12.75">
      <c r="D1896" s="11"/>
    </row>
    <row r="1897" ht="12.75">
      <c r="D1897" s="11"/>
    </row>
    <row r="1898" ht="12.75">
      <c r="D1898" s="11"/>
    </row>
    <row r="1899" ht="12.75">
      <c r="D1899" s="11"/>
    </row>
    <row r="1900" ht="12.75">
      <c r="D1900" s="11"/>
    </row>
    <row r="1901" ht="12.75">
      <c r="D1901" s="11"/>
    </row>
    <row r="1902" ht="12.75">
      <c r="D1902" s="11"/>
    </row>
    <row r="1903" ht="12.75">
      <c r="D1903" s="11"/>
    </row>
    <row r="1904" ht="12.75">
      <c r="D1904" s="11"/>
    </row>
    <row r="1905" ht="12.75">
      <c r="D1905" s="11"/>
    </row>
    <row r="1906" ht="12.75">
      <c r="D1906" s="11"/>
    </row>
    <row r="1907" ht="12.75">
      <c r="D1907" s="11"/>
    </row>
    <row r="1908" ht="12.75">
      <c r="D1908" s="11"/>
    </row>
    <row r="1909" ht="12.75">
      <c r="D1909" s="11"/>
    </row>
    <row r="1910" ht="12.75">
      <c r="D1910" s="11"/>
    </row>
    <row r="1911" ht="12.75">
      <c r="D1911" s="11"/>
    </row>
    <row r="1912" ht="12.75">
      <c r="D1912" s="11"/>
    </row>
    <row r="1913" ht="12.75">
      <c r="D1913" s="11"/>
    </row>
    <row r="1914" ht="12.75">
      <c r="D1914" s="11"/>
    </row>
    <row r="1915" ht="12.75">
      <c r="D1915" s="11"/>
    </row>
    <row r="1916" ht="12.75">
      <c r="D1916" s="11"/>
    </row>
    <row r="1917" ht="12.75">
      <c r="D1917" s="11"/>
    </row>
    <row r="1918" ht="12.75">
      <c r="D1918" s="11"/>
    </row>
    <row r="1919" ht="12.75">
      <c r="D1919" s="11"/>
    </row>
    <row r="1920" ht="12.75">
      <c r="D1920" s="11"/>
    </row>
    <row r="1921" ht="12.75">
      <c r="D1921" s="11"/>
    </row>
    <row r="1922" ht="12.75">
      <c r="D1922" s="11"/>
    </row>
    <row r="1923" ht="12.75">
      <c r="D1923" s="11"/>
    </row>
    <row r="1924" ht="12.75">
      <c r="D1924" s="11"/>
    </row>
    <row r="1925" ht="12.75">
      <c r="D1925" s="11"/>
    </row>
    <row r="1926" ht="12.75">
      <c r="D1926" s="11"/>
    </row>
    <row r="1927" ht="12.75">
      <c r="D1927" s="11"/>
    </row>
    <row r="1928" ht="12.75">
      <c r="D1928" s="11"/>
    </row>
    <row r="1929" ht="12.75">
      <c r="D1929" s="11"/>
    </row>
    <row r="1930" ht="12.75">
      <c r="D1930" s="11"/>
    </row>
    <row r="1931" ht="12.75">
      <c r="D1931" s="11"/>
    </row>
    <row r="1932" ht="12.75">
      <c r="D1932" s="11"/>
    </row>
    <row r="1933" ht="12.75">
      <c r="D1933" s="11"/>
    </row>
    <row r="1934" ht="12.75">
      <c r="D1934" s="11"/>
    </row>
    <row r="1935" ht="12.75">
      <c r="D1935" s="11"/>
    </row>
    <row r="1936" ht="12.75">
      <c r="D1936" s="11"/>
    </row>
    <row r="1937" ht="12.75">
      <c r="D1937" s="11"/>
    </row>
    <row r="1938" ht="12.75">
      <c r="D1938" s="11"/>
    </row>
    <row r="1939" ht="12.75">
      <c r="D1939" s="11"/>
    </row>
    <row r="1940" ht="12.75">
      <c r="D1940" s="11"/>
    </row>
    <row r="1941" ht="12.75">
      <c r="D1941" s="11"/>
    </row>
    <row r="1942" ht="12.75">
      <c r="D1942" s="11"/>
    </row>
    <row r="1943" ht="12.75">
      <c r="D1943" s="11"/>
    </row>
    <row r="1944" ht="12.75">
      <c r="D1944" s="11"/>
    </row>
    <row r="1945" ht="12.75">
      <c r="D1945" s="11"/>
    </row>
    <row r="1946" ht="12.75">
      <c r="D1946" s="11"/>
    </row>
    <row r="1947" ht="12.75">
      <c r="D1947" s="11"/>
    </row>
    <row r="1948" ht="12.75">
      <c r="D1948" s="11"/>
    </row>
    <row r="1949" ht="12.75">
      <c r="D1949" s="11"/>
    </row>
    <row r="1950" ht="12.75">
      <c r="D1950" s="11"/>
    </row>
    <row r="1951" ht="12.75">
      <c r="D1951" s="11"/>
    </row>
    <row r="1952" ht="12.75">
      <c r="D1952" s="11"/>
    </row>
    <row r="1953" ht="12.75">
      <c r="D1953" s="11"/>
    </row>
    <row r="1954" ht="12.75">
      <c r="D1954" s="11"/>
    </row>
    <row r="1955" ht="12.75">
      <c r="D1955" s="11"/>
    </row>
    <row r="1956" ht="12.75">
      <c r="D1956" s="11"/>
    </row>
    <row r="1957" ht="12.75">
      <c r="D1957" s="11"/>
    </row>
    <row r="1958" ht="12.75">
      <c r="D1958" s="11"/>
    </row>
    <row r="1959" ht="12.75">
      <c r="D1959" s="11"/>
    </row>
    <row r="1960" ht="12.75">
      <c r="D1960" s="11"/>
    </row>
    <row r="1961" ht="12.75">
      <c r="D1961" s="11"/>
    </row>
    <row r="1962" ht="12.75">
      <c r="D1962" s="11"/>
    </row>
    <row r="1963" ht="12.75">
      <c r="D1963" s="11"/>
    </row>
    <row r="1964" ht="12.75">
      <c r="D1964" s="11"/>
    </row>
    <row r="1965" ht="12.75">
      <c r="D1965" s="11"/>
    </row>
    <row r="1966" ht="12.75">
      <c r="D1966" s="11"/>
    </row>
    <row r="1967" ht="12.75">
      <c r="D1967" s="11"/>
    </row>
    <row r="1968" ht="12.75">
      <c r="D1968" s="11"/>
    </row>
    <row r="1969" ht="12.75">
      <c r="D1969" s="11"/>
    </row>
    <row r="1970" ht="12.75">
      <c r="D1970" s="11"/>
    </row>
    <row r="1971" ht="12.75">
      <c r="D1971" s="11"/>
    </row>
    <row r="1972" ht="12.75">
      <c r="D1972" s="11"/>
    </row>
    <row r="1973" ht="12.75">
      <c r="D1973" s="11"/>
    </row>
    <row r="1974" ht="12.75">
      <c r="D1974" s="11"/>
    </row>
    <row r="1975" ht="12.75">
      <c r="D1975" s="11"/>
    </row>
    <row r="1976" ht="12.75">
      <c r="D1976" s="11"/>
    </row>
    <row r="1977" ht="12.75">
      <c r="D1977" s="11"/>
    </row>
    <row r="1978" ht="12.75">
      <c r="D1978" s="11"/>
    </row>
    <row r="1979" ht="12.75">
      <c r="D1979" s="11"/>
    </row>
    <row r="1980" ht="12.75">
      <c r="D1980" s="11"/>
    </row>
    <row r="1981" ht="12.75">
      <c r="D1981" s="11"/>
    </row>
    <row r="1982" ht="12.75">
      <c r="D1982" s="11"/>
    </row>
    <row r="1983" ht="12.75">
      <c r="D1983" s="11"/>
    </row>
    <row r="1984" ht="12.75">
      <c r="D1984" s="11"/>
    </row>
    <row r="1985" ht="12.75">
      <c r="D1985" s="11"/>
    </row>
    <row r="1986" ht="12.75">
      <c r="D1986" s="11"/>
    </row>
    <row r="1987" ht="12.75">
      <c r="D1987" s="11"/>
    </row>
    <row r="1988" ht="12.75">
      <c r="D1988" s="11"/>
    </row>
    <row r="1989" ht="12.75">
      <c r="D1989" s="11"/>
    </row>
    <row r="1990" ht="12.75">
      <c r="D1990" s="11"/>
    </row>
    <row r="1991" ht="12.75">
      <c r="D1991" s="11"/>
    </row>
    <row r="1992" ht="12.75">
      <c r="D1992" s="11"/>
    </row>
    <row r="1993" ht="12.75">
      <c r="D1993" s="11"/>
    </row>
    <row r="1994" ht="12.75">
      <c r="D1994" s="11"/>
    </row>
    <row r="1995" ht="12.75">
      <c r="D1995" s="11"/>
    </row>
    <row r="1996" ht="12.75">
      <c r="D1996" s="11"/>
    </row>
    <row r="1997" ht="12.75">
      <c r="D1997" s="11"/>
    </row>
    <row r="1998" ht="12.75">
      <c r="D1998" s="11"/>
    </row>
    <row r="1999" ht="12.75">
      <c r="D1999" s="11"/>
    </row>
    <row r="2000" ht="12.75">
      <c r="D2000" s="11"/>
    </row>
    <row r="2001" ht="12.75">
      <c r="D2001" s="11"/>
    </row>
    <row r="2002" ht="12.75">
      <c r="D2002" s="11"/>
    </row>
    <row r="2003" ht="12.75">
      <c r="D2003" s="11"/>
    </row>
    <row r="2004" ht="12.75">
      <c r="D2004" s="11"/>
    </row>
    <row r="2005" ht="12.75">
      <c r="D2005" s="11"/>
    </row>
    <row r="2006" ht="12.75">
      <c r="D2006" s="11"/>
    </row>
    <row r="2007" ht="12.75">
      <c r="D2007" s="11"/>
    </row>
    <row r="2008" ht="12.75">
      <c r="D2008" s="11"/>
    </row>
    <row r="2009" ht="12.75">
      <c r="D2009" s="11"/>
    </row>
    <row r="2010" ht="12.75">
      <c r="D2010" s="11"/>
    </row>
    <row r="2011" ht="12.75">
      <c r="D2011" s="11"/>
    </row>
    <row r="2012" ht="12.75">
      <c r="D2012" s="11"/>
    </row>
    <row r="2013" ht="12.75">
      <c r="D2013" s="11"/>
    </row>
    <row r="2014" ht="12.75">
      <c r="D2014" s="11"/>
    </row>
    <row r="2015" ht="12.75">
      <c r="D2015" s="11"/>
    </row>
    <row r="2016" ht="12.75">
      <c r="D2016" s="11"/>
    </row>
    <row r="2017" ht="12.75">
      <c r="D2017" s="11"/>
    </row>
    <row r="2018" ht="12.75">
      <c r="D2018" s="11"/>
    </row>
    <row r="2019" ht="12.75">
      <c r="D2019" s="11"/>
    </row>
    <row r="2020" ht="12.75">
      <c r="D2020" s="11"/>
    </row>
    <row r="2021" ht="12.75">
      <c r="D2021" s="11"/>
    </row>
    <row r="2022" ht="12.75">
      <c r="D2022" s="11"/>
    </row>
    <row r="2023" ht="12.75">
      <c r="D2023" s="11"/>
    </row>
    <row r="2024" ht="12.75">
      <c r="D2024" s="11"/>
    </row>
    <row r="2025" ht="12.75">
      <c r="D2025" s="11"/>
    </row>
    <row r="2026" ht="12.75">
      <c r="D2026" s="11"/>
    </row>
    <row r="2027" ht="12.75">
      <c r="D2027" s="11"/>
    </row>
    <row r="2028" ht="12.75">
      <c r="D2028" s="11"/>
    </row>
    <row r="2029" ht="12.75">
      <c r="D2029" s="11"/>
    </row>
    <row r="2030" ht="12.75">
      <c r="D2030" s="11"/>
    </row>
    <row r="2031" ht="12.75">
      <c r="D2031" s="11"/>
    </row>
    <row r="2032" ht="12.75">
      <c r="D2032" s="11"/>
    </row>
    <row r="2033" ht="12.75">
      <c r="D2033" s="11"/>
    </row>
    <row r="2034" ht="12.75">
      <c r="D2034" s="11"/>
    </row>
    <row r="2035" ht="12.75">
      <c r="D2035" s="11"/>
    </row>
    <row r="2036" ht="12.75">
      <c r="D2036" s="11"/>
    </row>
    <row r="2037" ht="12.75">
      <c r="D2037" s="11"/>
    </row>
    <row r="2038" ht="12.75">
      <c r="D2038" s="11"/>
    </row>
    <row r="2039" ht="12.75">
      <c r="D2039" s="11"/>
    </row>
    <row r="2040" ht="12.75">
      <c r="D2040" s="11"/>
    </row>
    <row r="2041" ht="12.75">
      <c r="D2041" s="11"/>
    </row>
    <row r="2042" ht="12.75">
      <c r="D2042" s="11"/>
    </row>
    <row r="2043" ht="12.75">
      <c r="D2043" s="11"/>
    </row>
    <row r="2044" ht="12.75">
      <c r="D2044" s="11"/>
    </row>
    <row r="2045" ht="12.75">
      <c r="D2045" s="11"/>
    </row>
    <row r="2046" ht="12.75">
      <c r="D2046" s="11"/>
    </row>
    <row r="2047" ht="12.75">
      <c r="D2047" s="11"/>
    </row>
    <row r="2048" ht="12.75">
      <c r="D2048" s="11"/>
    </row>
    <row r="2049" ht="12.75">
      <c r="D2049" s="11"/>
    </row>
    <row r="2050" ht="12.75">
      <c r="D2050" s="11"/>
    </row>
    <row r="2051" ht="12.75">
      <c r="D2051" s="11"/>
    </row>
    <row r="2052" ht="12.75">
      <c r="D2052" s="11"/>
    </row>
    <row r="2053" ht="12.75">
      <c r="D2053" s="11"/>
    </row>
    <row r="2054" ht="12.75">
      <c r="D2054" s="11"/>
    </row>
    <row r="2055" ht="12.75">
      <c r="D2055" s="11"/>
    </row>
    <row r="2056" ht="12.75">
      <c r="D2056" s="11"/>
    </row>
    <row r="2057" ht="12.75">
      <c r="D2057" s="11"/>
    </row>
    <row r="2058" ht="12.75">
      <c r="D2058" s="11"/>
    </row>
    <row r="2059" ht="12.75">
      <c r="D2059" s="11"/>
    </row>
    <row r="2060" ht="12.75">
      <c r="D2060" s="11"/>
    </row>
    <row r="2061" ht="12.75">
      <c r="D2061" s="11"/>
    </row>
    <row r="2062" ht="12.75">
      <c r="D2062" s="11"/>
    </row>
    <row r="2063" ht="12.75">
      <c r="D2063" s="11"/>
    </row>
    <row r="2064" ht="12.75">
      <c r="D2064" s="11"/>
    </row>
    <row r="2065" ht="12.75">
      <c r="D2065" s="11"/>
    </row>
    <row r="2066" ht="12.75">
      <c r="D2066" s="11"/>
    </row>
    <row r="2067" ht="12.75">
      <c r="D2067" s="11"/>
    </row>
    <row r="2068" ht="12.75">
      <c r="D2068" s="11"/>
    </row>
    <row r="2069" ht="12.75">
      <c r="D2069" s="11"/>
    </row>
    <row r="2070" ht="12.75">
      <c r="D2070" s="11"/>
    </row>
    <row r="2071" ht="12.75">
      <c r="D2071" s="11"/>
    </row>
    <row r="2072" ht="12.75">
      <c r="D2072" s="11"/>
    </row>
    <row r="2073" ht="12.75">
      <c r="D2073" s="11"/>
    </row>
    <row r="2074" ht="12.75">
      <c r="D2074" s="11"/>
    </row>
    <row r="2075" ht="12.75">
      <c r="D2075" s="11"/>
    </row>
    <row r="2076" ht="12.75">
      <c r="D2076" s="11"/>
    </row>
    <row r="2077" ht="12.75">
      <c r="D2077" s="11"/>
    </row>
    <row r="2078" ht="12.75">
      <c r="D2078" s="11"/>
    </row>
    <row r="2079" ht="12.75">
      <c r="D2079" s="11"/>
    </row>
    <row r="2080" ht="12.75">
      <c r="D2080" s="11"/>
    </row>
    <row r="2081" ht="12.75">
      <c r="D2081" s="11"/>
    </row>
    <row r="2082" ht="12.75">
      <c r="D2082" s="11"/>
    </row>
    <row r="2083" ht="12.75">
      <c r="D2083" s="11"/>
    </row>
    <row r="2084" ht="12.75">
      <c r="D2084" s="11"/>
    </row>
    <row r="2085" ht="12.75">
      <c r="D2085" s="11"/>
    </row>
    <row r="2086" ht="12.75">
      <c r="D2086" s="11"/>
    </row>
    <row r="2087" ht="12.75">
      <c r="D2087" s="11"/>
    </row>
    <row r="2088" ht="12.75">
      <c r="D2088" s="11"/>
    </row>
    <row r="2089" ht="12.75">
      <c r="D2089" s="11"/>
    </row>
    <row r="2090" ht="12.75">
      <c r="D2090" s="11"/>
    </row>
    <row r="2091" ht="12.75">
      <c r="D2091" s="11"/>
    </row>
    <row r="2092" ht="12.75">
      <c r="D2092" s="11"/>
    </row>
    <row r="2093" ht="12.75">
      <c r="D2093" s="11"/>
    </row>
    <row r="2094" ht="12.75">
      <c r="D2094" s="11"/>
    </row>
    <row r="2095" ht="12.75">
      <c r="D2095" s="11"/>
    </row>
    <row r="2096" ht="12.75">
      <c r="D2096" s="11"/>
    </row>
    <row r="2097" ht="12.75">
      <c r="D2097" s="11"/>
    </row>
    <row r="2098" ht="12.75">
      <c r="D2098" s="11"/>
    </row>
    <row r="2099" ht="12.75">
      <c r="D2099" s="11"/>
    </row>
    <row r="2100" ht="12.75">
      <c r="D2100" s="11"/>
    </row>
    <row r="2101" ht="12.75">
      <c r="D2101" s="11"/>
    </row>
    <row r="2102" ht="12.75">
      <c r="D2102" s="11"/>
    </row>
    <row r="2103" ht="12.75">
      <c r="D2103" s="11"/>
    </row>
    <row r="2104" ht="12.75">
      <c r="D2104" s="11"/>
    </row>
    <row r="2105" ht="12.75">
      <c r="D2105" s="11"/>
    </row>
    <row r="2106" ht="12.75">
      <c r="D2106" s="11"/>
    </row>
    <row r="2107" ht="12.75">
      <c r="D2107" s="11"/>
    </row>
    <row r="2108" ht="12.75">
      <c r="D2108" s="11"/>
    </row>
    <row r="2109" ht="12.75">
      <c r="D2109" s="11"/>
    </row>
    <row r="2110" ht="12.75">
      <c r="D2110" s="11"/>
    </row>
    <row r="2111" ht="12.75">
      <c r="D2111" s="11"/>
    </row>
    <row r="2112" ht="12.75">
      <c r="D2112" s="11"/>
    </row>
    <row r="2113" ht="12.75">
      <c r="D2113" s="11"/>
    </row>
    <row r="2114" ht="12.75">
      <c r="D2114" s="11"/>
    </row>
    <row r="2115" ht="12.75">
      <c r="D2115" s="11"/>
    </row>
    <row r="2116" ht="12.75">
      <c r="D2116" s="11"/>
    </row>
    <row r="2117" ht="12.75">
      <c r="D2117" s="11"/>
    </row>
    <row r="2118" ht="12.75">
      <c r="D2118" s="11"/>
    </row>
    <row r="2119" ht="12.75">
      <c r="D2119" s="11"/>
    </row>
    <row r="2120" ht="12.75">
      <c r="D2120" s="11"/>
    </row>
    <row r="2121" ht="12.75">
      <c r="D2121" s="11"/>
    </row>
    <row r="2122" ht="12.75">
      <c r="D2122" s="11"/>
    </row>
    <row r="2123" ht="12.75">
      <c r="D2123" s="11"/>
    </row>
    <row r="2124" ht="12.75">
      <c r="D2124" s="11"/>
    </row>
    <row r="2125" ht="12.75">
      <c r="D2125" s="11"/>
    </row>
    <row r="2126" ht="12.75">
      <c r="D2126" s="11"/>
    </row>
    <row r="2127" ht="12.75">
      <c r="D2127" s="11"/>
    </row>
    <row r="2128" ht="12.75">
      <c r="D2128" s="11"/>
    </row>
    <row r="2129" ht="12.75">
      <c r="D2129" s="11"/>
    </row>
    <row r="2130" ht="12.75">
      <c r="D2130" s="11"/>
    </row>
    <row r="2131" ht="12.75">
      <c r="D2131" s="11"/>
    </row>
    <row r="2132" ht="12.75">
      <c r="D2132" s="11"/>
    </row>
    <row r="2133" ht="12.75">
      <c r="D2133" s="11"/>
    </row>
    <row r="2134" ht="12.75">
      <c r="D2134" s="11"/>
    </row>
    <row r="2135" ht="12.75">
      <c r="D2135" s="11"/>
    </row>
    <row r="2136" ht="12.75">
      <c r="D2136" s="11"/>
    </row>
    <row r="2137" ht="12.75">
      <c r="D2137" s="11"/>
    </row>
    <row r="2138" ht="12.75">
      <c r="D2138" s="11"/>
    </row>
    <row r="2139" ht="12.75">
      <c r="D2139" s="11"/>
    </row>
    <row r="2140" ht="12.75">
      <c r="D2140" s="11"/>
    </row>
    <row r="2141" ht="12.75">
      <c r="D2141" s="11"/>
    </row>
    <row r="2142" ht="12.75">
      <c r="D2142" s="11"/>
    </row>
    <row r="2143" ht="12.75">
      <c r="D2143" s="11"/>
    </row>
    <row r="2144" ht="12.75">
      <c r="D2144" s="11"/>
    </row>
    <row r="2145" ht="12.75">
      <c r="D2145" s="11"/>
    </row>
    <row r="2146" ht="12.75">
      <c r="D2146" s="11"/>
    </row>
    <row r="2147" ht="12.75">
      <c r="D2147" s="11"/>
    </row>
    <row r="2148" ht="12.75">
      <c r="D2148" s="11"/>
    </row>
    <row r="2149" ht="12.75">
      <c r="D2149" s="11"/>
    </row>
    <row r="2150" ht="12.75">
      <c r="D2150" s="11"/>
    </row>
    <row r="2151" ht="12.75">
      <c r="D2151" s="11"/>
    </row>
    <row r="2152" ht="12.75">
      <c r="D2152" s="11"/>
    </row>
    <row r="2153" ht="12.75">
      <c r="D2153" s="11"/>
    </row>
    <row r="2154" ht="12.75">
      <c r="D2154" s="11"/>
    </row>
    <row r="2155" ht="12.75">
      <c r="D2155" s="11"/>
    </row>
    <row r="2156" ht="12.75">
      <c r="D2156" s="11"/>
    </row>
    <row r="2157" ht="12.75">
      <c r="D2157" s="11"/>
    </row>
    <row r="2158" ht="12.75">
      <c r="D2158" s="11"/>
    </row>
    <row r="2159" ht="12.75">
      <c r="D2159" s="11"/>
    </row>
    <row r="2160" ht="12.75">
      <c r="D2160" s="11"/>
    </row>
    <row r="2161" ht="12.75">
      <c r="D2161" s="11"/>
    </row>
    <row r="2162" ht="12.75">
      <c r="D2162" s="11"/>
    </row>
    <row r="2163" ht="12.75">
      <c r="D2163" s="11"/>
    </row>
    <row r="2164" ht="12.75">
      <c r="D2164" s="11"/>
    </row>
    <row r="2165" ht="12.75">
      <c r="D2165" s="11"/>
    </row>
    <row r="2166" ht="12.75">
      <c r="D2166" s="11"/>
    </row>
    <row r="2167" ht="12.75">
      <c r="D2167" s="11"/>
    </row>
    <row r="2168" ht="12.75">
      <c r="D2168" s="11"/>
    </row>
    <row r="2169" ht="12.75">
      <c r="D2169" s="11"/>
    </row>
    <row r="2170" ht="12.75">
      <c r="D2170" s="11"/>
    </row>
    <row r="2171" ht="12.75">
      <c r="D2171" s="11"/>
    </row>
    <row r="2172" ht="12.75">
      <c r="D2172" s="11"/>
    </row>
    <row r="2173" ht="12.75">
      <c r="D2173" s="11"/>
    </row>
    <row r="2174" ht="12.75">
      <c r="D2174" s="11"/>
    </row>
    <row r="2175" ht="12.75">
      <c r="D2175" s="11"/>
    </row>
    <row r="2176" ht="12.75">
      <c r="D2176" s="11"/>
    </row>
    <row r="2177" ht="12.75">
      <c r="D2177" s="11"/>
    </row>
    <row r="2178" ht="12.75">
      <c r="D2178" s="11"/>
    </row>
    <row r="2179" ht="12.75">
      <c r="D2179" s="11"/>
    </row>
    <row r="2180" ht="12.75">
      <c r="D2180" s="11"/>
    </row>
    <row r="2181" ht="12.75">
      <c r="D2181" s="11"/>
    </row>
    <row r="2182" ht="12.75">
      <c r="D2182" s="11"/>
    </row>
    <row r="2183" ht="12.75">
      <c r="D2183" s="11"/>
    </row>
    <row r="2184" ht="12.75">
      <c r="D2184" s="11"/>
    </row>
    <row r="2185" ht="12.75">
      <c r="D2185" s="11"/>
    </row>
    <row r="2186" ht="12.75">
      <c r="D2186" s="11"/>
    </row>
    <row r="2187" ht="12.75">
      <c r="D2187" s="11"/>
    </row>
    <row r="2188" ht="12.75">
      <c r="D2188" s="11"/>
    </row>
    <row r="2189" ht="12.75">
      <c r="D2189" s="11"/>
    </row>
    <row r="2190" ht="12.75">
      <c r="D2190" s="11"/>
    </row>
    <row r="2191" ht="12.75">
      <c r="D2191" s="11"/>
    </row>
    <row r="2192" ht="12.75">
      <c r="D2192" s="11"/>
    </row>
    <row r="2193" ht="12.75">
      <c r="D2193" s="11"/>
    </row>
    <row r="2194" ht="12.75">
      <c r="D2194" s="11"/>
    </row>
    <row r="2195" ht="12.75">
      <c r="D2195" s="11"/>
    </row>
    <row r="2196" ht="12.75">
      <c r="D2196" s="11"/>
    </row>
    <row r="2197" ht="12.75">
      <c r="D2197" s="11"/>
    </row>
    <row r="2198" ht="12.75">
      <c r="D2198" s="11"/>
    </row>
    <row r="2199" ht="12.75">
      <c r="D2199" s="11"/>
    </row>
    <row r="2200" ht="12.75">
      <c r="D2200" s="11"/>
    </row>
    <row r="2201" ht="12.75">
      <c r="D2201" s="11"/>
    </row>
    <row r="2202" ht="12.75">
      <c r="D2202" s="11"/>
    </row>
    <row r="2203" ht="12.75">
      <c r="D2203" s="11"/>
    </row>
    <row r="2204" ht="12.75">
      <c r="D2204" s="11"/>
    </row>
    <row r="2205" ht="12.75">
      <c r="D2205" s="11"/>
    </row>
    <row r="2206" ht="12.75">
      <c r="D2206" s="11"/>
    </row>
    <row r="2207" ht="12.75">
      <c r="D2207" s="11"/>
    </row>
    <row r="2208" ht="12.75">
      <c r="D2208" s="11"/>
    </row>
    <row r="2209" ht="12.75">
      <c r="D2209" s="11"/>
    </row>
    <row r="2210" ht="12.75">
      <c r="D2210" s="11"/>
    </row>
    <row r="2211" ht="12.75">
      <c r="D2211" s="11"/>
    </row>
    <row r="2212" ht="12.75">
      <c r="D2212" s="11"/>
    </row>
    <row r="2213" ht="12.75">
      <c r="D2213" s="11"/>
    </row>
    <row r="2214" ht="12.75">
      <c r="D2214" s="11"/>
    </row>
    <row r="2215" ht="12.75">
      <c r="D2215" s="11"/>
    </row>
    <row r="2216" ht="12.75">
      <c r="D2216" s="11"/>
    </row>
    <row r="2217" ht="12.75">
      <c r="D2217" s="11"/>
    </row>
    <row r="2218" ht="12.75">
      <c r="D2218" s="11"/>
    </row>
    <row r="2219" ht="12.75">
      <c r="D2219" s="11"/>
    </row>
    <row r="2220" ht="12.75">
      <c r="D2220" s="11"/>
    </row>
    <row r="2221" ht="12.75">
      <c r="D2221" s="11"/>
    </row>
    <row r="2222" ht="12.75">
      <c r="D2222" s="11"/>
    </row>
    <row r="2223" ht="12.75">
      <c r="D2223" s="11"/>
    </row>
    <row r="2224" ht="12.75">
      <c r="D2224" s="11"/>
    </row>
    <row r="2225" ht="12.75">
      <c r="D2225" s="11"/>
    </row>
    <row r="2226" ht="12.75">
      <c r="D2226" s="11"/>
    </row>
    <row r="2227" ht="12.75">
      <c r="D2227" s="11"/>
    </row>
    <row r="2228" ht="12.75">
      <c r="D2228" s="11"/>
    </row>
    <row r="2229" ht="12.75">
      <c r="D2229" s="11"/>
    </row>
    <row r="2230" ht="12.75">
      <c r="D2230" s="11"/>
    </row>
    <row r="2231" ht="12.75">
      <c r="D2231" s="11"/>
    </row>
    <row r="2232" ht="12.75">
      <c r="D2232" s="11"/>
    </row>
    <row r="2233" ht="12.75">
      <c r="D2233" s="11"/>
    </row>
    <row r="2234" ht="12.75">
      <c r="D2234" s="11"/>
    </row>
    <row r="2235" ht="12.75">
      <c r="D2235" s="11"/>
    </row>
    <row r="2236" ht="12.75">
      <c r="D2236" s="11"/>
    </row>
    <row r="2237" ht="12.75">
      <c r="D2237" s="11"/>
    </row>
    <row r="2238" ht="12.75">
      <c r="D2238" s="11"/>
    </row>
    <row r="2239" ht="12.75">
      <c r="D2239" s="11"/>
    </row>
    <row r="2240" ht="12.75">
      <c r="D2240" s="11"/>
    </row>
    <row r="2241" ht="12.75">
      <c r="D2241" s="11"/>
    </row>
    <row r="2242" ht="12.75">
      <c r="D2242" s="11"/>
    </row>
    <row r="2243" ht="12.75">
      <c r="D2243" s="11"/>
    </row>
    <row r="2244" ht="12.75">
      <c r="D2244" s="11"/>
    </row>
    <row r="2245" ht="12.75">
      <c r="D2245" s="11"/>
    </row>
    <row r="2246" ht="12.75">
      <c r="D2246" s="11"/>
    </row>
    <row r="2247" ht="12.75">
      <c r="D2247" s="11"/>
    </row>
    <row r="2248" ht="12.75">
      <c r="D2248" s="11"/>
    </row>
    <row r="2249" ht="12.75">
      <c r="D2249" s="11"/>
    </row>
    <row r="2250" ht="12.75">
      <c r="D2250" s="11"/>
    </row>
    <row r="2251" ht="12.75">
      <c r="D2251" s="11"/>
    </row>
    <row r="2252" ht="12.75">
      <c r="D2252" s="11"/>
    </row>
    <row r="2253" ht="12.75">
      <c r="D2253" s="11"/>
    </row>
    <row r="2254" ht="12.75">
      <c r="D2254" s="11"/>
    </row>
    <row r="2255" ht="12.75">
      <c r="D2255" s="11"/>
    </row>
    <row r="2256" ht="12.75">
      <c r="D2256" s="11"/>
    </row>
    <row r="2257" ht="12.75">
      <c r="D2257" s="11"/>
    </row>
    <row r="2258" ht="12.75">
      <c r="D2258" s="11"/>
    </row>
    <row r="2259" ht="12.75">
      <c r="D2259" s="11"/>
    </row>
    <row r="2260" ht="12.75">
      <c r="D2260" s="11"/>
    </row>
    <row r="2261" ht="12.75">
      <c r="D2261" s="11"/>
    </row>
    <row r="2262" ht="12.75">
      <c r="D2262" s="11"/>
    </row>
    <row r="2263" ht="12.75">
      <c r="D2263" s="11"/>
    </row>
    <row r="2264" ht="12.75">
      <c r="D2264" s="11"/>
    </row>
    <row r="2265" ht="12.75">
      <c r="D2265" s="11"/>
    </row>
    <row r="2266" ht="12.75">
      <c r="D2266" s="11"/>
    </row>
    <row r="2267" ht="12.75">
      <c r="D2267" s="11"/>
    </row>
    <row r="2268" ht="12.75">
      <c r="D2268" s="11"/>
    </row>
    <row r="2269" ht="12.75">
      <c r="D2269" s="11"/>
    </row>
    <row r="2270" ht="12.75">
      <c r="D2270" s="11"/>
    </row>
    <row r="2271" ht="12.75">
      <c r="D2271" s="11"/>
    </row>
    <row r="2272" ht="12.75">
      <c r="D2272" s="11"/>
    </row>
    <row r="2273" ht="12.75">
      <c r="D2273" s="11"/>
    </row>
    <row r="2274" ht="12.75">
      <c r="D2274" s="11"/>
    </row>
    <row r="2275" ht="12.75">
      <c r="D2275" s="11"/>
    </row>
    <row r="2276" ht="12.75">
      <c r="D2276" s="11"/>
    </row>
    <row r="2277" ht="12.75">
      <c r="D2277" s="11"/>
    </row>
    <row r="2278" ht="12.75">
      <c r="D2278" s="11"/>
    </row>
    <row r="2279" ht="12.75">
      <c r="D2279" s="11"/>
    </row>
    <row r="2280" ht="12.75">
      <c r="D2280" s="11"/>
    </row>
    <row r="2281" ht="12.75">
      <c r="D2281" s="11"/>
    </row>
    <row r="2282" ht="12.75">
      <c r="D2282" s="11"/>
    </row>
    <row r="2283" ht="12.75">
      <c r="D2283" s="11"/>
    </row>
    <row r="2284" ht="12.75">
      <c r="D2284" s="11"/>
    </row>
    <row r="2285" ht="12.75">
      <c r="D2285" s="11"/>
    </row>
    <row r="2286" ht="12.75">
      <c r="D2286" s="11"/>
    </row>
    <row r="2287" ht="12.75">
      <c r="D2287" s="11"/>
    </row>
    <row r="2288" ht="12.75">
      <c r="D2288" s="11"/>
    </row>
    <row r="2289" ht="12.75">
      <c r="D2289" s="11"/>
    </row>
    <row r="2290" ht="12.75">
      <c r="D2290" s="11"/>
    </row>
    <row r="2291" ht="12.75">
      <c r="D2291" s="11"/>
    </row>
    <row r="2292" ht="12.75">
      <c r="D2292" s="11"/>
    </row>
    <row r="2293" ht="12.75">
      <c r="D2293" s="11"/>
    </row>
    <row r="2294" ht="12.75">
      <c r="D2294" s="11"/>
    </row>
    <row r="2295" ht="12.75">
      <c r="D2295" s="11"/>
    </row>
    <row r="2296" ht="12.75">
      <c r="D2296" s="11"/>
    </row>
    <row r="2297" ht="12.75">
      <c r="D2297" s="11"/>
    </row>
    <row r="2298" ht="12.75">
      <c r="D2298" s="11"/>
    </row>
    <row r="2299" ht="12.75">
      <c r="D2299" s="11"/>
    </row>
    <row r="2300" ht="12.75">
      <c r="D2300" s="11"/>
    </row>
    <row r="2301" ht="12.75">
      <c r="D2301" s="11"/>
    </row>
    <row r="2302" ht="12.75">
      <c r="D2302" s="11"/>
    </row>
    <row r="2303" ht="12.75">
      <c r="D2303" s="11"/>
    </row>
    <row r="2304" ht="12.75">
      <c r="D2304" s="11"/>
    </row>
    <row r="2305" ht="12.75">
      <c r="D2305" s="11"/>
    </row>
    <row r="2306" ht="12.75">
      <c r="D2306" s="11"/>
    </row>
    <row r="2307" ht="12.75">
      <c r="D2307" s="11"/>
    </row>
    <row r="2308" ht="12.75">
      <c r="D2308" s="11"/>
    </row>
    <row r="2309" ht="12.75">
      <c r="D2309" s="11"/>
    </row>
    <row r="2310" ht="12.75">
      <c r="D2310" s="11"/>
    </row>
    <row r="2311" ht="12.75">
      <c r="D2311" s="11"/>
    </row>
    <row r="2312" ht="12.75">
      <c r="D2312" s="11"/>
    </row>
    <row r="2313" ht="12.75">
      <c r="D2313" s="11"/>
    </row>
    <row r="2314" ht="12.75">
      <c r="D2314" s="11"/>
    </row>
    <row r="2315" ht="12.75">
      <c r="D2315" s="11"/>
    </row>
    <row r="2316" ht="12.75">
      <c r="D2316" s="11"/>
    </row>
    <row r="2317" ht="12.75">
      <c r="D2317" s="11"/>
    </row>
    <row r="2318" ht="12.75">
      <c r="D2318" s="11"/>
    </row>
    <row r="2319" ht="12.75">
      <c r="D2319" s="11"/>
    </row>
    <row r="2320" ht="12.75">
      <c r="D2320" s="11"/>
    </row>
    <row r="2321" ht="12.75">
      <c r="D2321" s="11"/>
    </row>
    <row r="2322" ht="12.75">
      <c r="D2322" s="11"/>
    </row>
    <row r="2323" ht="12.75">
      <c r="D2323" s="11"/>
    </row>
    <row r="2324" ht="12.75">
      <c r="D2324" s="11"/>
    </row>
    <row r="2325" ht="12.75">
      <c r="D2325" s="11"/>
    </row>
    <row r="2326" ht="12.75">
      <c r="D2326" s="11"/>
    </row>
    <row r="2327" ht="12.75">
      <c r="D2327" s="11"/>
    </row>
    <row r="2328" ht="12.75">
      <c r="D2328" s="11"/>
    </row>
    <row r="2329" ht="12.75">
      <c r="D2329" s="11"/>
    </row>
    <row r="2330" ht="12.75">
      <c r="D2330" s="11"/>
    </row>
    <row r="2331" ht="12.75">
      <c r="D2331" s="11"/>
    </row>
    <row r="2332" ht="12.75">
      <c r="D2332" s="11"/>
    </row>
    <row r="2333" ht="12.75">
      <c r="D2333" s="11"/>
    </row>
    <row r="2334" ht="12.75">
      <c r="D2334" s="11"/>
    </row>
    <row r="2335" ht="12.75">
      <c r="D2335" s="11"/>
    </row>
    <row r="2336" ht="12.75">
      <c r="D2336" s="11"/>
    </row>
    <row r="2337" ht="12.75">
      <c r="D2337" s="11"/>
    </row>
    <row r="2338" ht="12.75">
      <c r="D2338" s="11"/>
    </row>
    <row r="2339" ht="12.75">
      <c r="D2339" s="11"/>
    </row>
    <row r="2340" ht="12.75">
      <c r="D2340" s="11"/>
    </row>
    <row r="2341" ht="12.75">
      <c r="D2341" s="11"/>
    </row>
    <row r="2342" ht="12.75">
      <c r="D2342" s="11"/>
    </row>
    <row r="2343" ht="12.75">
      <c r="D2343" s="11"/>
    </row>
    <row r="2344" ht="12.75">
      <c r="D2344" s="11"/>
    </row>
    <row r="2345" ht="12.75">
      <c r="D2345" s="11"/>
    </row>
    <row r="2346" ht="12.75">
      <c r="D2346" s="11"/>
    </row>
    <row r="2347" ht="12.75">
      <c r="D2347" s="11"/>
    </row>
    <row r="2348" ht="12.75">
      <c r="D2348" s="11"/>
    </row>
    <row r="2349" ht="12.75">
      <c r="D2349" s="11"/>
    </row>
    <row r="2350" ht="12.75">
      <c r="D2350" s="11"/>
    </row>
    <row r="2351" ht="12.75">
      <c r="D2351" s="11"/>
    </row>
    <row r="2352" ht="12.75">
      <c r="D2352" s="11"/>
    </row>
    <row r="2353" ht="12.75">
      <c r="D2353" s="11"/>
    </row>
    <row r="2354" ht="12.75">
      <c r="D2354" s="11"/>
    </row>
    <row r="2355" ht="12.75">
      <c r="D2355" s="11"/>
    </row>
    <row r="2356" ht="12.75">
      <c r="D2356" s="11"/>
    </row>
    <row r="2357" ht="12.75">
      <c r="D2357" s="11"/>
    </row>
    <row r="2358" ht="12.75">
      <c r="D2358" s="11"/>
    </row>
    <row r="2359" ht="12.75">
      <c r="D2359" s="11"/>
    </row>
    <row r="2360" ht="12.75">
      <c r="D2360" s="11"/>
    </row>
    <row r="2361" ht="12.75">
      <c r="D2361" s="11"/>
    </row>
    <row r="2362" ht="12.75">
      <c r="D2362" s="11"/>
    </row>
    <row r="2363" ht="12.75">
      <c r="D2363" s="11"/>
    </row>
    <row r="2364" ht="12.75">
      <c r="D2364" s="11"/>
    </row>
    <row r="2365" ht="12.75">
      <c r="D2365" s="11"/>
    </row>
    <row r="2366" ht="12.75">
      <c r="D2366" s="11"/>
    </row>
    <row r="2367" ht="12.75">
      <c r="D2367" s="11"/>
    </row>
    <row r="2368" ht="12.75">
      <c r="D2368" s="11"/>
    </row>
    <row r="2369" ht="12.75">
      <c r="D2369" s="11"/>
    </row>
    <row r="2370" ht="12.75">
      <c r="D2370" s="11"/>
    </row>
    <row r="2371" ht="12.75">
      <c r="D2371" s="11"/>
    </row>
    <row r="2372" ht="12.75">
      <c r="D2372" s="11"/>
    </row>
    <row r="2373" ht="12.75">
      <c r="D2373" s="11"/>
    </row>
    <row r="2374" ht="12.75">
      <c r="D2374" s="11"/>
    </row>
    <row r="2375" ht="12.75">
      <c r="D2375" s="11"/>
    </row>
    <row r="2376" ht="12.75">
      <c r="D2376" s="11"/>
    </row>
    <row r="2377" ht="12.75">
      <c r="D2377" s="11"/>
    </row>
    <row r="2378" ht="12.75">
      <c r="D2378" s="11"/>
    </row>
    <row r="2379" ht="12.75">
      <c r="D2379" s="11"/>
    </row>
    <row r="2380" ht="12.75">
      <c r="D2380" s="11"/>
    </row>
    <row r="2381" ht="12.75">
      <c r="D2381" s="11"/>
    </row>
    <row r="2382" ht="12.75">
      <c r="D2382" s="11"/>
    </row>
    <row r="2383" ht="12.75">
      <c r="D2383" s="11"/>
    </row>
    <row r="2384" ht="12.75">
      <c r="D2384" s="11"/>
    </row>
    <row r="2385" ht="12.75">
      <c r="D2385" s="11"/>
    </row>
    <row r="2386" ht="12.75">
      <c r="D2386" s="11"/>
    </row>
    <row r="2387" ht="12.75">
      <c r="D2387" s="11"/>
    </row>
    <row r="2388" ht="12.75">
      <c r="D2388" s="11"/>
    </row>
    <row r="2389" ht="12.75">
      <c r="D2389" s="11"/>
    </row>
    <row r="2390" ht="12.75">
      <c r="D2390" s="11"/>
    </row>
    <row r="2391" ht="12.75">
      <c r="D2391" s="11"/>
    </row>
    <row r="2392" ht="12.75">
      <c r="D2392" s="11"/>
    </row>
    <row r="2393" ht="12.75">
      <c r="D2393" s="11"/>
    </row>
    <row r="2394" ht="12.75">
      <c r="D2394" s="11"/>
    </row>
    <row r="2395" ht="12.75">
      <c r="D2395" s="11"/>
    </row>
    <row r="2396" ht="12.75">
      <c r="D2396" s="11"/>
    </row>
    <row r="2397" ht="12.75">
      <c r="D2397" s="11"/>
    </row>
    <row r="2398" ht="12.75">
      <c r="D2398" s="11"/>
    </row>
    <row r="2399" ht="12.75">
      <c r="D2399" s="11"/>
    </row>
    <row r="2400" ht="12.75">
      <c r="D2400" s="11"/>
    </row>
    <row r="2401" ht="12.75">
      <c r="D2401" s="11"/>
    </row>
    <row r="2402" ht="12.75">
      <c r="D2402" s="11"/>
    </row>
    <row r="2403" ht="12.75">
      <c r="D2403" s="11"/>
    </row>
    <row r="2404" ht="12.75">
      <c r="D2404" s="11"/>
    </row>
    <row r="2405" ht="12.75">
      <c r="D2405" s="11"/>
    </row>
    <row r="2406" ht="12.75">
      <c r="D2406" s="11"/>
    </row>
    <row r="2407" ht="12.75">
      <c r="D2407" s="11"/>
    </row>
    <row r="2408" ht="12.75">
      <c r="D2408" s="11"/>
    </row>
    <row r="2409" ht="12.75">
      <c r="D2409" s="11"/>
    </row>
    <row r="2410" ht="12.75">
      <c r="D2410" s="11"/>
    </row>
    <row r="2411" ht="12.75">
      <c r="D2411" s="11"/>
    </row>
    <row r="2412" ht="12.75">
      <c r="D2412" s="11"/>
    </row>
    <row r="2413" ht="12.75">
      <c r="D2413" s="11"/>
    </row>
    <row r="2414" ht="12.75">
      <c r="D2414" s="11"/>
    </row>
    <row r="2415" ht="12.75">
      <c r="D2415" s="11"/>
    </row>
    <row r="2416" ht="12.75">
      <c r="D2416" s="11"/>
    </row>
    <row r="2417" ht="12.75">
      <c r="D2417" s="11"/>
    </row>
    <row r="2418" ht="12.75">
      <c r="D2418" s="11"/>
    </row>
    <row r="2419" ht="12.75">
      <c r="D2419" s="11"/>
    </row>
    <row r="2420" ht="12.75">
      <c r="D2420" s="11"/>
    </row>
    <row r="2421" ht="12.75">
      <c r="D2421" s="11"/>
    </row>
    <row r="2422" ht="12.75">
      <c r="D2422" s="11"/>
    </row>
    <row r="2423" ht="12.75">
      <c r="D2423" s="11"/>
    </row>
    <row r="2424" ht="12.75">
      <c r="D2424" s="11"/>
    </row>
    <row r="2425" ht="12.75">
      <c r="D2425" s="11"/>
    </row>
    <row r="2426" ht="12.75">
      <c r="D2426" s="11"/>
    </row>
    <row r="2427" ht="12.75">
      <c r="D2427" s="11"/>
    </row>
    <row r="2428" ht="12.75">
      <c r="D2428" s="11"/>
    </row>
    <row r="2429" ht="12.75">
      <c r="D2429" s="11"/>
    </row>
    <row r="2430" ht="12.75">
      <c r="D2430" s="11"/>
    </row>
    <row r="2431" ht="12.75">
      <c r="D2431" s="11"/>
    </row>
    <row r="2432" ht="12.75">
      <c r="D2432" s="11"/>
    </row>
    <row r="2433" ht="12.75">
      <c r="D2433" s="11"/>
    </row>
    <row r="2434" ht="12.75">
      <c r="D2434" s="11"/>
    </row>
    <row r="2435" ht="12.75">
      <c r="D2435" s="11"/>
    </row>
    <row r="2436" ht="12.75">
      <c r="D2436" s="11"/>
    </row>
    <row r="2437" ht="12.75">
      <c r="D2437" s="11"/>
    </row>
    <row r="2438" ht="12.75">
      <c r="D2438" s="11"/>
    </row>
    <row r="2439" ht="12.75">
      <c r="D2439" s="11"/>
    </row>
    <row r="2440" ht="12.75">
      <c r="D2440" s="11"/>
    </row>
    <row r="2441" ht="12.75">
      <c r="D2441" s="11"/>
    </row>
    <row r="2442" ht="12.75">
      <c r="D2442" s="11"/>
    </row>
    <row r="2443" ht="12.75">
      <c r="D2443" s="11"/>
    </row>
    <row r="2444" ht="12.75">
      <c r="D2444" s="11"/>
    </row>
    <row r="2445" ht="12.75">
      <c r="D2445" s="11"/>
    </row>
    <row r="2446" ht="12.75">
      <c r="D2446" s="11"/>
    </row>
    <row r="2447" ht="12.75">
      <c r="D2447" s="11"/>
    </row>
    <row r="2448" ht="12.75">
      <c r="D2448" s="11"/>
    </row>
    <row r="2449" ht="12.75">
      <c r="D2449" s="11"/>
    </row>
    <row r="2450" ht="12.75">
      <c r="D2450" s="11"/>
    </row>
    <row r="2451" ht="12.75">
      <c r="D2451" s="11"/>
    </row>
    <row r="2452" ht="12.75">
      <c r="D2452" s="11"/>
    </row>
    <row r="2453" ht="12.75">
      <c r="D2453" s="11"/>
    </row>
    <row r="2454" ht="12.75">
      <c r="D2454" s="11"/>
    </row>
    <row r="2455" ht="12.75">
      <c r="D2455" s="11"/>
    </row>
    <row r="2456" ht="12.75">
      <c r="D2456" s="11"/>
    </row>
    <row r="2457" ht="12.75">
      <c r="D2457" s="11"/>
    </row>
    <row r="2458" ht="12.75">
      <c r="D2458" s="11"/>
    </row>
    <row r="2459" ht="12.75">
      <c r="D2459" s="11"/>
    </row>
    <row r="2460" ht="12.75">
      <c r="D2460" s="11"/>
    </row>
    <row r="2461" ht="12.75">
      <c r="D2461" s="11"/>
    </row>
    <row r="2462" ht="12.75">
      <c r="D2462" s="11"/>
    </row>
    <row r="2463" ht="12.75">
      <c r="D2463" s="11"/>
    </row>
    <row r="2464" ht="12.75">
      <c r="D2464" s="11"/>
    </row>
    <row r="2465" ht="12.75">
      <c r="D2465" s="11"/>
    </row>
    <row r="2466" ht="12.75">
      <c r="D2466" s="11"/>
    </row>
    <row r="2467" ht="12.75">
      <c r="D2467" s="11"/>
    </row>
    <row r="2468" ht="12.75">
      <c r="D2468" s="11"/>
    </row>
    <row r="2469" ht="12.75">
      <c r="D2469" s="11"/>
    </row>
    <row r="2470" ht="12.75">
      <c r="D2470" s="11"/>
    </row>
    <row r="2471" ht="12.75">
      <c r="D2471" s="11"/>
    </row>
    <row r="2472" ht="12.75">
      <c r="D2472" s="11"/>
    </row>
    <row r="2473" ht="12.75">
      <c r="D2473" s="11"/>
    </row>
    <row r="2474" ht="12.75">
      <c r="D2474" s="11"/>
    </row>
    <row r="2475" ht="12.75">
      <c r="D2475" s="11"/>
    </row>
    <row r="2476" ht="12.75">
      <c r="D2476" s="11"/>
    </row>
    <row r="2477" ht="12.75">
      <c r="D2477" s="11"/>
    </row>
    <row r="2478" ht="12.75">
      <c r="D2478" s="11"/>
    </row>
    <row r="2479" ht="12.75">
      <c r="D2479" s="11"/>
    </row>
    <row r="2480" ht="12.75">
      <c r="D2480" s="11"/>
    </row>
    <row r="2481" ht="12.75">
      <c r="D2481" s="11"/>
    </row>
    <row r="2482" ht="12.75">
      <c r="D2482" s="11"/>
    </row>
    <row r="2483" ht="12.75">
      <c r="D2483" s="11"/>
    </row>
    <row r="2484" ht="12.75">
      <c r="D2484" s="11"/>
    </row>
    <row r="2485" ht="12.75">
      <c r="D2485" s="11"/>
    </row>
    <row r="2486" ht="12.75">
      <c r="D2486" s="11"/>
    </row>
    <row r="2487" ht="12.75">
      <c r="D2487" s="11"/>
    </row>
    <row r="2488" ht="12.75">
      <c r="D2488" s="11"/>
    </row>
    <row r="2489" ht="12.75">
      <c r="D2489" s="11"/>
    </row>
    <row r="2490" ht="12.75">
      <c r="D2490" s="11"/>
    </row>
    <row r="2491" ht="12.75">
      <c r="D2491" s="11"/>
    </row>
    <row r="2492" ht="12.75">
      <c r="D2492" s="11"/>
    </row>
    <row r="2493" ht="12.75">
      <c r="D2493" s="11"/>
    </row>
    <row r="2494" ht="12.75">
      <c r="D2494" s="11"/>
    </row>
    <row r="2495" ht="12.75">
      <c r="D2495" s="11"/>
    </row>
    <row r="2496" ht="12.75">
      <c r="D2496" s="11"/>
    </row>
    <row r="2497" ht="12.75">
      <c r="D2497" s="11"/>
    </row>
    <row r="2498" ht="12.75">
      <c r="D2498" s="11"/>
    </row>
    <row r="2499" ht="12.75">
      <c r="D2499" s="11"/>
    </row>
    <row r="2500" ht="12.75">
      <c r="D2500" s="11"/>
    </row>
    <row r="2501" ht="12.75">
      <c r="D2501" s="11"/>
    </row>
    <row r="2502" ht="12.75">
      <c r="D2502" s="11"/>
    </row>
    <row r="2503" ht="12.75">
      <c r="D2503" s="11"/>
    </row>
    <row r="2504" ht="12.75">
      <c r="D2504" s="11"/>
    </row>
    <row r="2505" ht="12.75">
      <c r="D2505" s="11"/>
    </row>
    <row r="2506" ht="12.75">
      <c r="D2506" s="11"/>
    </row>
    <row r="2507" ht="12.75">
      <c r="D2507" s="11"/>
    </row>
    <row r="2508" ht="12.75">
      <c r="D2508" s="11"/>
    </row>
    <row r="2509" ht="12.75">
      <c r="D2509" s="11"/>
    </row>
    <row r="2510" ht="12.75">
      <c r="D2510" s="11"/>
    </row>
    <row r="2511" ht="12.75">
      <c r="D2511" s="11"/>
    </row>
    <row r="2512" ht="12.75">
      <c r="D2512" s="11"/>
    </row>
    <row r="2513" ht="12.75">
      <c r="D2513" s="11"/>
    </row>
    <row r="2514" ht="12.75">
      <c r="D2514" s="11"/>
    </row>
    <row r="2515" ht="12.75">
      <c r="D2515" s="11"/>
    </row>
    <row r="2516" ht="12.75">
      <c r="D2516" s="11"/>
    </row>
    <row r="2517" ht="12.75">
      <c r="D2517" s="11"/>
    </row>
    <row r="2518" ht="12.75">
      <c r="D2518" s="11"/>
    </row>
    <row r="2519" ht="12.75">
      <c r="D2519" s="11"/>
    </row>
    <row r="2520" ht="12.75">
      <c r="D2520" s="11"/>
    </row>
    <row r="2521" ht="12.75">
      <c r="D2521" s="11"/>
    </row>
    <row r="2522" ht="12.75">
      <c r="D2522" s="11"/>
    </row>
    <row r="2523" ht="12.75">
      <c r="D2523" s="11"/>
    </row>
    <row r="2524" ht="12.75">
      <c r="D2524" s="11"/>
    </row>
    <row r="2525" ht="12.75">
      <c r="D2525" s="11"/>
    </row>
    <row r="2526" ht="12.75">
      <c r="D2526" s="11"/>
    </row>
    <row r="2527" ht="12.75">
      <c r="D2527" s="11"/>
    </row>
    <row r="2528" ht="12.75">
      <c r="D2528" s="11"/>
    </row>
    <row r="2529" ht="12.75">
      <c r="D2529" s="11"/>
    </row>
    <row r="2530" ht="12.75">
      <c r="D2530" s="11"/>
    </row>
    <row r="2531" ht="12.75">
      <c r="D2531" s="11"/>
    </row>
    <row r="2532" ht="12.75">
      <c r="D2532" s="11"/>
    </row>
    <row r="2533" ht="12.75">
      <c r="D2533" s="11"/>
    </row>
    <row r="2534" ht="12.75">
      <c r="D2534" s="11"/>
    </row>
    <row r="2535" ht="12.75">
      <c r="D2535" s="11"/>
    </row>
    <row r="2536" ht="12.75">
      <c r="D2536" s="11"/>
    </row>
    <row r="2537" ht="12.75">
      <c r="D2537" s="11"/>
    </row>
    <row r="2538" ht="12.75">
      <c r="D2538" s="11"/>
    </row>
    <row r="2539" ht="12.75">
      <c r="D2539" s="11"/>
    </row>
    <row r="2540" ht="12.75">
      <c r="D2540" s="11"/>
    </row>
    <row r="2541" ht="12.75">
      <c r="D2541" s="11"/>
    </row>
    <row r="2542" ht="12.75">
      <c r="D2542" s="11"/>
    </row>
    <row r="2543" ht="12.75">
      <c r="D2543" s="11"/>
    </row>
    <row r="2544" ht="12.75">
      <c r="D2544" s="11"/>
    </row>
    <row r="2545" ht="12.75">
      <c r="D2545" s="11"/>
    </row>
    <row r="2546" ht="12.75">
      <c r="D2546" s="11"/>
    </row>
    <row r="2547" ht="12.75">
      <c r="D2547" s="11"/>
    </row>
    <row r="2548" ht="12.75">
      <c r="D2548" s="11"/>
    </row>
    <row r="2549" ht="12.75">
      <c r="D2549" s="11"/>
    </row>
    <row r="2550" ht="12.75">
      <c r="D2550" s="11"/>
    </row>
    <row r="2551" ht="12.75">
      <c r="D2551" s="11"/>
    </row>
    <row r="2552" ht="12.75">
      <c r="D2552" s="11"/>
    </row>
    <row r="2553" ht="12.75">
      <c r="D2553" s="11"/>
    </row>
    <row r="2554" ht="12.75">
      <c r="D2554" s="11"/>
    </row>
    <row r="2555" ht="12.75">
      <c r="D2555" s="11"/>
    </row>
    <row r="2556" ht="12.75">
      <c r="D2556" s="11"/>
    </row>
    <row r="2557" ht="12.75">
      <c r="D2557" s="11"/>
    </row>
    <row r="2558" ht="12.75">
      <c r="D2558" s="11"/>
    </row>
    <row r="2559" ht="12.75">
      <c r="D2559" s="11"/>
    </row>
    <row r="2560" ht="12.75">
      <c r="D2560" s="11"/>
    </row>
    <row r="2561" ht="12.75">
      <c r="D2561" s="11"/>
    </row>
    <row r="2562" ht="12.75">
      <c r="D2562" s="11"/>
    </row>
    <row r="2563" ht="12.75">
      <c r="D2563" s="11"/>
    </row>
    <row r="2564" ht="12.75">
      <c r="D2564" s="11"/>
    </row>
    <row r="2565" ht="12.75">
      <c r="D2565" s="11"/>
    </row>
    <row r="2566" ht="12.75">
      <c r="D2566" s="11"/>
    </row>
    <row r="2567" ht="12.75">
      <c r="D2567" s="11"/>
    </row>
    <row r="2568" ht="12.75">
      <c r="D2568" s="11"/>
    </row>
    <row r="2569" ht="12.75">
      <c r="D2569" s="11"/>
    </row>
    <row r="2570" ht="12.75">
      <c r="D2570" s="11"/>
    </row>
    <row r="2571" ht="12.75">
      <c r="D2571" s="11"/>
    </row>
    <row r="2572" ht="12.75">
      <c r="D2572" s="11"/>
    </row>
    <row r="2573" ht="12.75">
      <c r="D2573" s="11"/>
    </row>
    <row r="2574" ht="12.75">
      <c r="D2574" s="11"/>
    </row>
    <row r="2575" ht="12.75">
      <c r="D2575" s="11"/>
    </row>
    <row r="2576" ht="12.75">
      <c r="D2576" s="11"/>
    </row>
    <row r="2577" ht="12.75">
      <c r="D2577" s="11"/>
    </row>
    <row r="2578" ht="12.75">
      <c r="D2578" s="11"/>
    </row>
    <row r="2579" ht="12.75">
      <c r="D2579" s="11"/>
    </row>
    <row r="2580" ht="12.75">
      <c r="D2580" s="11"/>
    </row>
    <row r="2581" ht="12.75">
      <c r="D2581" s="11"/>
    </row>
    <row r="2582" ht="12.75">
      <c r="D2582" s="11"/>
    </row>
    <row r="2583" ht="12.75">
      <c r="D2583" s="11"/>
    </row>
    <row r="2584" ht="12.75">
      <c r="D2584" s="11"/>
    </row>
    <row r="2585" ht="12.75">
      <c r="D2585" s="11"/>
    </row>
    <row r="2586" ht="12.75">
      <c r="D2586" s="11"/>
    </row>
    <row r="2587" ht="12.75">
      <c r="D2587" s="11"/>
    </row>
    <row r="2588" ht="12.75">
      <c r="D2588" s="11"/>
    </row>
    <row r="2589" ht="12.75">
      <c r="D2589" s="11"/>
    </row>
    <row r="2590" ht="12.75">
      <c r="D2590" s="11"/>
    </row>
    <row r="2591" ht="12.75">
      <c r="D2591" s="11"/>
    </row>
    <row r="2592" ht="12.75">
      <c r="D2592" s="11"/>
    </row>
    <row r="2593" ht="12.75">
      <c r="D2593" s="11"/>
    </row>
    <row r="2594" ht="12.75">
      <c r="D2594" s="11"/>
    </row>
    <row r="2595" ht="12.75">
      <c r="D2595" s="11"/>
    </row>
    <row r="2596" ht="12.75">
      <c r="D2596" s="11"/>
    </row>
    <row r="2597" ht="12.75">
      <c r="D2597" s="11"/>
    </row>
    <row r="2598" ht="12.75">
      <c r="D2598" s="11"/>
    </row>
    <row r="2599" ht="12.75">
      <c r="D2599" s="11"/>
    </row>
    <row r="2600" ht="12.75">
      <c r="D2600" s="11"/>
    </row>
    <row r="2601" ht="12.75">
      <c r="D2601" s="11"/>
    </row>
    <row r="2602" ht="12.75">
      <c r="D2602" s="11"/>
    </row>
    <row r="2603" ht="12.75">
      <c r="D2603" s="11"/>
    </row>
    <row r="2604" ht="12.75">
      <c r="D2604" s="11"/>
    </row>
    <row r="2605" ht="12.75">
      <c r="D2605" s="11"/>
    </row>
    <row r="2606" ht="12.75">
      <c r="D2606" s="11"/>
    </row>
    <row r="2607" ht="12.75">
      <c r="D2607" s="11"/>
    </row>
    <row r="2608" ht="12.75">
      <c r="D2608" s="11"/>
    </row>
    <row r="2609" ht="12.75">
      <c r="D2609" s="11"/>
    </row>
    <row r="2610" ht="12.75">
      <c r="D2610" s="11"/>
    </row>
    <row r="2611" ht="12.75">
      <c r="D2611" s="11"/>
    </row>
    <row r="2612" ht="12.75">
      <c r="D2612" s="11"/>
    </row>
    <row r="2613" ht="12.75">
      <c r="D2613" s="11"/>
    </row>
    <row r="2614" ht="12.75">
      <c r="D2614" s="11"/>
    </row>
    <row r="2615" ht="12.75">
      <c r="D2615" s="11"/>
    </row>
    <row r="2616" ht="12.75">
      <c r="D2616" s="11"/>
    </row>
    <row r="2617" ht="12.75">
      <c r="D2617" s="11"/>
    </row>
    <row r="2618" ht="12.75">
      <c r="D2618" s="11"/>
    </row>
    <row r="2619" ht="12.75">
      <c r="D2619" s="11"/>
    </row>
    <row r="2620" ht="12.75">
      <c r="D2620" s="11"/>
    </row>
    <row r="2621" ht="12.75">
      <c r="D2621" s="11"/>
    </row>
    <row r="2622" ht="12.75">
      <c r="D2622" s="11"/>
    </row>
    <row r="2623" ht="12.75">
      <c r="D2623" s="11"/>
    </row>
    <row r="2624" ht="12.75">
      <c r="D2624" s="11"/>
    </row>
    <row r="2625" ht="12.75">
      <c r="D2625" s="11"/>
    </row>
    <row r="2626" ht="12.75">
      <c r="D2626" s="11"/>
    </row>
    <row r="2627" ht="12.75">
      <c r="D2627" s="11"/>
    </row>
    <row r="2628" ht="12.75">
      <c r="D2628" s="11"/>
    </row>
    <row r="2629" ht="12.75">
      <c r="D2629" s="11"/>
    </row>
    <row r="2630" ht="12.75">
      <c r="D2630" s="11"/>
    </row>
    <row r="2631" ht="12.75">
      <c r="D2631" s="11"/>
    </row>
    <row r="2632" ht="12.75">
      <c r="D2632" s="11"/>
    </row>
    <row r="2633" ht="12.75">
      <c r="D2633" s="11"/>
    </row>
    <row r="2634" ht="12.75">
      <c r="D2634" s="11"/>
    </row>
    <row r="2635" ht="12.75">
      <c r="D2635" s="11"/>
    </row>
    <row r="2636" ht="12.75">
      <c r="D2636" s="11"/>
    </row>
    <row r="2637" ht="12.75">
      <c r="D2637" s="11"/>
    </row>
    <row r="2638" ht="12.75">
      <c r="D2638" s="11"/>
    </row>
    <row r="2639" ht="12.75">
      <c r="D2639" s="11"/>
    </row>
    <row r="2640" ht="12.75">
      <c r="D2640" s="11"/>
    </row>
    <row r="2641" ht="12.75">
      <c r="D2641" s="11"/>
    </row>
    <row r="2642" ht="12.75">
      <c r="D2642" s="11"/>
    </row>
    <row r="2643" ht="12.75">
      <c r="D2643" s="11"/>
    </row>
    <row r="2644" ht="12.75">
      <c r="D2644" s="11"/>
    </row>
    <row r="2645" ht="12.75">
      <c r="D2645" s="11"/>
    </row>
    <row r="2646" ht="12.75">
      <c r="D2646" s="11"/>
    </row>
    <row r="2647" ht="12.75">
      <c r="D2647" s="11"/>
    </row>
    <row r="2648" ht="12.75">
      <c r="D2648" s="11"/>
    </row>
    <row r="2649" ht="12.75">
      <c r="D2649" s="11"/>
    </row>
    <row r="2650" ht="12.75">
      <c r="D2650" s="11"/>
    </row>
    <row r="2651" ht="12.75">
      <c r="D2651" s="11"/>
    </row>
    <row r="2652" ht="12.75">
      <c r="D2652" s="11"/>
    </row>
    <row r="2653" ht="12.75">
      <c r="D2653" s="11"/>
    </row>
    <row r="2654" ht="12.75">
      <c r="D2654" s="11"/>
    </row>
    <row r="2655" ht="12.75">
      <c r="D2655" s="11"/>
    </row>
    <row r="2656" ht="12.75">
      <c r="D2656" s="11"/>
    </row>
    <row r="2657" ht="12.75">
      <c r="D2657" s="11"/>
    </row>
    <row r="2658" ht="12.75">
      <c r="D2658" s="11"/>
    </row>
    <row r="2659" ht="12.75">
      <c r="D2659" s="11"/>
    </row>
    <row r="2660" ht="12.75">
      <c r="D2660" s="11"/>
    </row>
    <row r="2661" ht="12.75">
      <c r="D2661" s="11"/>
    </row>
    <row r="2662" ht="12.75">
      <c r="D2662" s="11"/>
    </row>
    <row r="2663" ht="12.75">
      <c r="D2663" s="11"/>
    </row>
    <row r="2664" ht="12.75">
      <c r="D2664" s="11"/>
    </row>
    <row r="2665" ht="12.75">
      <c r="D2665" s="11"/>
    </row>
    <row r="2666" ht="12.75">
      <c r="D2666" s="11"/>
    </row>
    <row r="2667" ht="12.75">
      <c r="D2667" s="11"/>
    </row>
    <row r="2668" ht="12.75">
      <c r="D2668" s="11"/>
    </row>
    <row r="2669" ht="12.75">
      <c r="D2669" s="11"/>
    </row>
    <row r="2670" ht="12.75">
      <c r="D2670" s="11"/>
    </row>
    <row r="2671" ht="12.75">
      <c r="D2671" s="11"/>
    </row>
    <row r="2672" ht="12.75">
      <c r="D2672" s="11"/>
    </row>
    <row r="2673" ht="12.75">
      <c r="D2673" s="11"/>
    </row>
    <row r="2674" ht="12.75">
      <c r="D2674" s="11"/>
    </row>
    <row r="2675" ht="12.75">
      <c r="D2675" s="11"/>
    </row>
    <row r="2676" ht="12.75">
      <c r="D2676" s="11"/>
    </row>
    <row r="2677" ht="12.75">
      <c r="D2677" s="11"/>
    </row>
    <row r="2678" ht="12.75">
      <c r="D2678" s="11"/>
    </row>
    <row r="2679" ht="12.75">
      <c r="D2679" s="11"/>
    </row>
    <row r="2680" ht="12.75">
      <c r="D2680" s="11"/>
    </row>
    <row r="2681" ht="12.75">
      <c r="D2681" s="11"/>
    </row>
    <row r="2682" ht="12.75">
      <c r="D2682" s="11"/>
    </row>
    <row r="2683" ht="12.75">
      <c r="D2683" s="11"/>
    </row>
    <row r="2684" ht="12.75">
      <c r="D2684" s="11"/>
    </row>
    <row r="2685" ht="12.75">
      <c r="D2685" s="11"/>
    </row>
    <row r="2686" ht="12.75">
      <c r="D2686" s="11"/>
    </row>
    <row r="2687" ht="12.75">
      <c r="D2687" s="11"/>
    </row>
    <row r="2688" ht="12.75">
      <c r="D2688" s="11"/>
    </row>
    <row r="2689" ht="12.75">
      <c r="D2689" s="11"/>
    </row>
    <row r="2690" ht="12.75">
      <c r="D2690" s="11"/>
    </row>
    <row r="2691" ht="12.75">
      <c r="D2691" s="11"/>
    </row>
    <row r="2692" ht="12.75">
      <c r="D2692" s="11"/>
    </row>
    <row r="2693" ht="12.75">
      <c r="D2693" s="11"/>
    </row>
    <row r="2694" ht="12.75">
      <c r="D2694" s="11"/>
    </row>
    <row r="2695" ht="12.75">
      <c r="D2695" s="11"/>
    </row>
    <row r="2696" ht="12.75">
      <c r="D2696" s="11"/>
    </row>
    <row r="2697" ht="12.75">
      <c r="D2697" s="11"/>
    </row>
    <row r="2698" ht="12.75">
      <c r="D2698" s="11"/>
    </row>
    <row r="2699" ht="12.75">
      <c r="D2699" s="11"/>
    </row>
    <row r="2700" ht="12.75">
      <c r="D2700" s="11"/>
    </row>
    <row r="2701" ht="12.75">
      <c r="D2701" s="11"/>
    </row>
    <row r="2702" ht="12.75">
      <c r="D2702" s="11"/>
    </row>
    <row r="2703" ht="12.75">
      <c r="D2703" s="11"/>
    </row>
    <row r="2704" ht="12.75">
      <c r="D2704" s="11"/>
    </row>
    <row r="2705" ht="12.75">
      <c r="D2705" s="11"/>
    </row>
    <row r="2706" ht="12.75">
      <c r="D2706" s="11"/>
    </row>
    <row r="2707" ht="12.75">
      <c r="D2707" s="11"/>
    </row>
    <row r="2708" ht="12.75">
      <c r="D2708" s="11"/>
    </row>
    <row r="2709" ht="12.75">
      <c r="D2709" s="11"/>
    </row>
    <row r="2710" ht="12.75">
      <c r="D2710" s="11"/>
    </row>
    <row r="2711" ht="12.75">
      <c r="D2711" s="11"/>
    </row>
    <row r="2712" ht="12.75">
      <c r="D2712" s="11"/>
    </row>
    <row r="2713" ht="12.75">
      <c r="D2713" s="11"/>
    </row>
    <row r="2714" ht="12.75">
      <c r="D2714" s="11"/>
    </row>
    <row r="2715" ht="12.75">
      <c r="D2715" s="11"/>
    </row>
    <row r="2716" ht="12.75">
      <c r="D2716" s="11"/>
    </row>
    <row r="2717" ht="12.75">
      <c r="D2717" s="11"/>
    </row>
    <row r="2718" ht="12.75">
      <c r="D2718" s="11"/>
    </row>
    <row r="2719" ht="12.75">
      <c r="D2719" s="11"/>
    </row>
    <row r="2720" ht="12.75">
      <c r="D2720" s="11"/>
    </row>
    <row r="2721" ht="12.75">
      <c r="D2721" s="11"/>
    </row>
    <row r="2722" ht="12.75">
      <c r="D2722" s="11"/>
    </row>
    <row r="2723" ht="12.75">
      <c r="D2723" s="11"/>
    </row>
    <row r="2724" ht="12.75">
      <c r="D2724" s="11"/>
    </row>
    <row r="2725" ht="12.75">
      <c r="D2725" s="11"/>
    </row>
    <row r="2726" ht="12.75">
      <c r="D2726" s="11"/>
    </row>
    <row r="2727" ht="12.75">
      <c r="D2727" s="11"/>
    </row>
    <row r="2728" ht="12.75">
      <c r="D2728" s="11"/>
    </row>
    <row r="2729" ht="12.75">
      <c r="D2729" s="11"/>
    </row>
    <row r="2730" ht="12.75">
      <c r="D2730" s="11"/>
    </row>
    <row r="2731" ht="12.75">
      <c r="D2731" s="11"/>
    </row>
    <row r="2732" ht="12.75">
      <c r="D2732" s="11"/>
    </row>
    <row r="2733" ht="12.75">
      <c r="D2733" s="11"/>
    </row>
    <row r="2734" ht="12.75">
      <c r="D2734" s="11"/>
    </row>
    <row r="2735" ht="12.75">
      <c r="D2735" s="11"/>
    </row>
    <row r="2736" ht="12.75">
      <c r="D2736" s="11"/>
    </row>
    <row r="2737" ht="12.75">
      <c r="D2737" s="11"/>
    </row>
    <row r="2738" ht="12.75">
      <c r="D2738" s="11"/>
    </row>
    <row r="2739" ht="12.75">
      <c r="D2739" s="11"/>
    </row>
    <row r="2740" ht="12.75">
      <c r="D2740" s="11"/>
    </row>
    <row r="2741" ht="12.75">
      <c r="D2741" s="11"/>
    </row>
    <row r="2742" ht="12.75">
      <c r="D2742" s="11"/>
    </row>
    <row r="2743" ht="12.75">
      <c r="D2743" s="11"/>
    </row>
    <row r="2744" ht="12.75">
      <c r="D2744" s="11"/>
    </row>
    <row r="2745" ht="12.75">
      <c r="D2745" s="11"/>
    </row>
    <row r="2746" ht="12.75">
      <c r="D2746" s="11"/>
    </row>
    <row r="2747" ht="12.75">
      <c r="D2747" s="11"/>
    </row>
    <row r="2748" ht="12.75">
      <c r="D2748" s="11"/>
    </row>
    <row r="2749" ht="12.75">
      <c r="D2749" s="11"/>
    </row>
    <row r="2750" ht="12.75">
      <c r="D2750" s="11"/>
    </row>
    <row r="2751" ht="12.75">
      <c r="D2751" s="11"/>
    </row>
    <row r="2752" ht="12.75">
      <c r="D2752" s="11"/>
    </row>
    <row r="2753" ht="12.75">
      <c r="D2753" s="11"/>
    </row>
    <row r="2754" ht="12.75">
      <c r="D2754" s="11"/>
    </row>
    <row r="2755" ht="12.75">
      <c r="D2755" s="11"/>
    </row>
    <row r="2756" ht="12.75">
      <c r="D2756" s="11"/>
    </row>
    <row r="2757" ht="12.75">
      <c r="D2757" s="11"/>
    </row>
    <row r="2758" ht="12.75">
      <c r="D2758" s="11"/>
    </row>
    <row r="2759" ht="12.75">
      <c r="D2759" s="11"/>
    </row>
    <row r="2760" ht="12.75">
      <c r="D2760" s="11"/>
    </row>
    <row r="2761" ht="12.75">
      <c r="D2761" s="11"/>
    </row>
    <row r="2762" ht="12.75">
      <c r="D2762" s="11"/>
    </row>
    <row r="2763" ht="12.75">
      <c r="D2763" s="11"/>
    </row>
    <row r="2764" ht="12.75">
      <c r="D2764" s="11"/>
    </row>
    <row r="2765" ht="12.75">
      <c r="D2765" s="11"/>
    </row>
    <row r="2766" ht="12.75">
      <c r="D2766" s="11"/>
    </row>
    <row r="2767" ht="12.75">
      <c r="D2767" s="11"/>
    </row>
    <row r="2768" ht="12.75">
      <c r="D2768" s="11"/>
    </row>
    <row r="2769" ht="12.75">
      <c r="D2769" s="11"/>
    </row>
    <row r="2770" ht="12.75">
      <c r="D2770" s="11"/>
    </row>
    <row r="2771" ht="12.75">
      <c r="D2771" s="11"/>
    </row>
    <row r="2772" ht="12.75">
      <c r="D2772" s="11"/>
    </row>
    <row r="2773" ht="12.75">
      <c r="D2773" s="11"/>
    </row>
    <row r="2774" ht="12.75">
      <c r="D2774" s="11"/>
    </row>
    <row r="2775" ht="12.75">
      <c r="D2775" s="11"/>
    </row>
    <row r="2776" ht="12.75">
      <c r="D2776" s="11"/>
    </row>
    <row r="2777" ht="12.75">
      <c r="D2777" s="11"/>
    </row>
    <row r="2778" ht="12.75">
      <c r="D2778" s="11"/>
    </row>
    <row r="2779" ht="12.75">
      <c r="D2779" s="11"/>
    </row>
    <row r="2780" ht="12.75">
      <c r="D2780" s="11"/>
    </row>
    <row r="2781" ht="12.75">
      <c r="D2781" s="11"/>
    </row>
    <row r="2782" ht="12.75">
      <c r="D2782" s="11"/>
    </row>
    <row r="2783" ht="12.75">
      <c r="D2783" s="11"/>
    </row>
    <row r="2784" ht="12.75">
      <c r="D2784" s="11"/>
    </row>
    <row r="2785" ht="12.75">
      <c r="D2785" s="11"/>
    </row>
    <row r="2786" ht="12.75">
      <c r="D2786" s="11"/>
    </row>
    <row r="2787" ht="12.75">
      <c r="D2787" s="11"/>
    </row>
    <row r="2788" ht="12.75">
      <c r="D2788" s="11"/>
    </row>
    <row r="2789" ht="12.75">
      <c r="D2789" s="11"/>
    </row>
    <row r="2790" ht="12.75">
      <c r="D2790" s="11"/>
    </row>
    <row r="2791" ht="12.75">
      <c r="D2791" s="11"/>
    </row>
    <row r="2792" ht="12.75">
      <c r="D2792" s="11"/>
    </row>
    <row r="2793" ht="12.75">
      <c r="D2793" s="11"/>
    </row>
    <row r="2794" ht="12.75">
      <c r="D2794" s="11"/>
    </row>
    <row r="2795" ht="12.75">
      <c r="D2795" s="11"/>
    </row>
    <row r="2796" ht="12.75">
      <c r="D2796" s="11"/>
    </row>
    <row r="2797" ht="12.75">
      <c r="D2797" s="11"/>
    </row>
    <row r="2798" ht="12.75">
      <c r="D2798" s="11"/>
    </row>
    <row r="2799" ht="12.75">
      <c r="D2799" s="11"/>
    </row>
    <row r="2800" ht="12.75">
      <c r="D2800" s="11"/>
    </row>
    <row r="2801" ht="12.75">
      <c r="D2801" s="11"/>
    </row>
    <row r="2802" ht="12.75">
      <c r="D2802" s="11"/>
    </row>
    <row r="2803" ht="12.75">
      <c r="D2803" s="11"/>
    </row>
    <row r="2804" ht="12.75">
      <c r="D2804" s="11"/>
    </row>
    <row r="2805" ht="12.75">
      <c r="D2805" s="11"/>
    </row>
    <row r="2806" ht="12.75">
      <c r="D2806" s="11"/>
    </row>
    <row r="2807" ht="12.75">
      <c r="D2807" s="11"/>
    </row>
    <row r="2808" ht="12.75">
      <c r="D2808" s="11"/>
    </row>
    <row r="2809" ht="12.75">
      <c r="D2809" s="11"/>
    </row>
    <row r="2810" ht="12.75">
      <c r="D2810" s="11"/>
    </row>
    <row r="2811" ht="12.75">
      <c r="D2811" s="11"/>
    </row>
    <row r="2812" ht="12.75">
      <c r="D2812" s="11"/>
    </row>
    <row r="2813" ht="12.75">
      <c r="D2813" s="11"/>
    </row>
    <row r="2814" ht="12.75">
      <c r="D2814" s="11"/>
    </row>
    <row r="2815" ht="12.75">
      <c r="D2815" s="11"/>
    </row>
    <row r="2816" ht="12.75">
      <c r="D2816" s="11"/>
    </row>
    <row r="2817" ht="12.75">
      <c r="D2817" s="11"/>
    </row>
    <row r="2818" ht="12.75">
      <c r="D2818" s="11"/>
    </row>
    <row r="2819" ht="12.75">
      <c r="D2819" s="11"/>
    </row>
    <row r="2820" ht="12.75">
      <c r="D2820" s="11"/>
    </row>
    <row r="2821" ht="12.75">
      <c r="D2821" s="11"/>
    </row>
    <row r="2822" ht="12.75">
      <c r="D2822" s="11"/>
    </row>
    <row r="2823" ht="12.75">
      <c r="D2823" s="11"/>
    </row>
    <row r="2824" ht="12.75">
      <c r="D2824" s="11"/>
    </row>
    <row r="2825" ht="12.75">
      <c r="D2825" s="11"/>
    </row>
    <row r="2826" ht="12.75">
      <c r="D2826" s="11"/>
    </row>
    <row r="2827" ht="12.75">
      <c r="D2827" s="11"/>
    </row>
    <row r="2828" ht="12.75">
      <c r="D2828" s="11"/>
    </row>
    <row r="2829" ht="12.75">
      <c r="D2829" s="11"/>
    </row>
    <row r="2830" ht="12.75">
      <c r="D2830" s="11"/>
    </row>
    <row r="2831" ht="12.75">
      <c r="D2831" s="11"/>
    </row>
    <row r="2832" ht="12.75">
      <c r="D2832" s="11"/>
    </row>
    <row r="2833" ht="12.75">
      <c r="D2833" s="11"/>
    </row>
    <row r="2834" ht="12.75">
      <c r="D2834" s="11"/>
    </row>
    <row r="2835" ht="12.75">
      <c r="D2835" s="11"/>
    </row>
    <row r="2836" ht="12.75">
      <c r="D2836" s="11"/>
    </row>
    <row r="2837" ht="12.75">
      <c r="D2837" s="11"/>
    </row>
    <row r="2838" ht="12.75">
      <c r="D2838" s="11"/>
    </row>
    <row r="2839" ht="12.75">
      <c r="D2839" s="11"/>
    </row>
    <row r="2840" ht="12.75">
      <c r="D2840" s="11"/>
    </row>
    <row r="2841" ht="12.75">
      <c r="D2841" s="11"/>
    </row>
    <row r="2842" ht="12.75">
      <c r="D2842" s="11"/>
    </row>
    <row r="2843" ht="12.75">
      <c r="D2843" s="11"/>
    </row>
    <row r="2844" ht="12.75">
      <c r="D2844" s="11"/>
    </row>
    <row r="2845" ht="12.75">
      <c r="D2845" s="11"/>
    </row>
    <row r="2846" ht="12.75">
      <c r="D2846" s="11"/>
    </row>
    <row r="2847" ht="12.75">
      <c r="D2847" s="11"/>
    </row>
    <row r="2848" ht="12.75">
      <c r="D2848" s="11"/>
    </row>
    <row r="2849" ht="12.75">
      <c r="D2849" s="11"/>
    </row>
    <row r="2850" ht="12.75">
      <c r="D2850" s="11"/>
    </row>
    <row r="2851" ht="12.75">
      <c r="D2851" s="11"/>
    </row>
    <row r="2852" ht="12.75">
      <c r="D2852" s="11"/>
    </row>
    <row r="2853" ht="12.75">
      <c r="D2853" s="11"/>
    </row>
    <row r="2854" ht="12.75">
      <c r="D2854" s="11"/>
    </row>
    <row r="2855" ht="12.75">
      <c r="D2855" s="11"/>
    </row>
    <row r="2856" ht="12.75">
      <c r="D2856" s="11"/>
    </row>
    <row r="2857" ht="12.75">
      <c r="D2857" s="11"/>
    </row>
    <row r="2858" ht="12.75">
      <c r="D2858" s="11"/>
    </row>
    <row r="2859" ht="12.75">
      <c r="D2859" s="11"/>
    </row>
    <row r="2860" ht="12.75">
      <c r="D2860" s="11"/>
    </row>
    <row r="2861" ht="12.75">
      <c r="D2861" s="11"/>
    </row>
    <row r="2862" ht="12.75">
      <c r="D2862" s="11"/>
    </row>
    <row r="2863" ht="12.75">
      <c r="D2863" s="11"/>
    </row>
    <row r="2864" ht="12.75">
      <c r="D2864" s="11"/>
    </row>
    <row r="2865" ht="12.75">
      <c r="D2865" s="11"/>
    </row>
    <row r="2866" ht="12.75">
      <c r="D2866" s="11"/>
    </row>
    <row r="2867" ht="12.75">
      <c r="D2867" s="11"/>
    </row>
    <row r="2868" ht="12.75">
      <c r="D2868" s="11"/>
    </row>
    <row r="2869" ht="12.75">
      <c r="D2869" s="11"/>
    </row>
    <row r="2870" ht="12.75">
      <c r="D2870" s="11"/>
    </row>
    <row r="2871" ht="12.75">
      <c r="D2871" s="11"/>
    </row>
    <row r="2872" ht="12.75">
      <c r="D2872" s="11"/>
    </row>
    <row r="2873" ht="12.75">
      <c r="D2873" s="11"/>
    </row>
    <row r="2874" ht="12.75">
      <c r="D2874" s="11"/>
    </row>
    <row r="2875" ht="12.75">
      <c r="D2875" s="11"/>
    </row>
    <row r="2876" ht="12.75">
      <c r="D2876" s="11"/>
    </row>
    <row r="2877" ht="12.75">
      <c r="D2877" s="11"/>
    </row>
    <row r="2878" ht="12.75">
      <c r="D2878" s="11"/>
    </row>
    <row r="2879" ht="12.75">
      <c r="D2879" s="11"/>
    </row>
    <row r="2880" ht="12.75">
      <c r="D2880" s="11"/>
    </row>
    <row r="2881" ht="12.75">
      <c r="D2881" s="11"/>
    </row>
    <row r="2882" ht="12.75">
      <c r="D2882" s="11"/>
    </row>
    <row r="2883" ht="12.75">
      <c r="D2883" s="11"/>
    </row>
    <row r="2884" ht="12.75">
      <c r="D2884" s="11"/>
    </row>
    <row r="2885" ht="12.75">
      <c r="D2885" s="11"/>
    </row>
    <row r="2886" ht="12.75">
      <c r="D2886" s="11"/>
    </row>
    <row r="2887" ht="12.75">
      <c r="D2887" s="11"/>
    </row>
    <row r="2888" ht="12.75">
      <c r="D2888" s="11"/>
    </row>
    <row r="2889" ht="12.75">
      <c r="D2889" s="11"/>
    </row>
    <row r="2890" ht="12.75">
      <c r="D2890" s="11"/>
    </row>
    <row r="2891" ht="12.75">
      <c r="D2891" s="11"/>
    </row>
    <row r="2892" ht="12.75">
      <c r="D2892" s="11"/>
    </row>
    <row r="2893" ht="12.75">
      <c r="D2893" s="11"/>
    </row>
    <row r="2894" ht="12.75">
      <c r="D2894" s="11"/>
    </row>
    <row r="2895" ht="12.75">
      <c r="D2895" s="11"/>
    </row>
    <row r="2896" ht="12.75">
      <c r="D2896" s="11"/>
    </row>
    <row r="2897" ht="12.75">
      <c r="D2897" s="11"/>
    </row>
    <row r="2898" ht="12.75">
      <c r="D2898" s="11"/>
    </row>
    <row r="2899" ht="12.75">
      <c r="D2899" s="11"/>
    </row>
    <row r="2900" ht="12.75">
      <c r="D2900" s="11"/>
    </row>
    <row r="2901" ht="12.75">
      <c r="D2901" s="11"/>
    </row>
    <row r="2902" ht="12.75">
      <c r="D2902" s="11"/>
    </row>
    <row r="2903" ht="12.75">
      <c r="D2903" s="11"/>
    </row>
    <row r="2904" ht="12.75">
      <c r="D2904" s="11"/>
    </row>
    <row r="2905" ht="12.75">
      <c r="D2905" s="11"/>
    </row>
    <row r="2906" ht="12.75">
      <c r="D2906" s="11"/>
    </row>
    <row r="2907" ht="12.75">
      <c r="D2907" s="11"/>
    </row>
    <row r="2908" ht="12.75">
      <c r="D2908" s="11"/>
    </row>
    <row r="2909" ht="12.75">
      <c r="D2909" s="11"/>
    </row>
    <row r="2910" ht="12.75">
      <c r="D2910" s="11"/>
    </row>
    <row r="2911" ht="12.75">
      <c r="D2911" s="11"/>
    </row>
    <row r="2912" ht="12.75">
      <c r="D2912" s="11"/>
    </row>
    <row r="2913" ht="12.75">
      <c r="D2913" s="11"/>
    </row>
    <row r="2914" ht="12.75">
      <c r="D2914" s="11"/>
    </row>
    <row r="2915" ht="12.75">
      <c r="D2915" s="11"/>
    </row>
    <row r="2916" ht="12.75">
      <c r="D2916" s="11"/>
    </row>
    <row r="2917" ht="12.75">
      <c r="D2917" s="11"/>
    </row>
    <row r="2918" ht="12.75">
      <c r="D2918" s="11"/>
    </row>
    <row r="2919" ht="12.75">
      <c r="D2919" s="11"/>
    </row>
    <row r="2920" ht="12.75">
      <c r="D2920" s="11"/>
    </row>
    <row r="2921" ht="12.75">
      <c r="D2921" s="11"/>
    </row>
    <row r="2922" ht="12.75">
      <c r="D2922" s="11"/>
    </row>
    <row r="2923" ht="12.75">
      <c r="D2923" s="11"/>
    </row>
    <row r="2924" ht="12.75">
      <c r="D2924" s="11"/>
    </row>
    <row r="2925" ht="12.75">
      <c r="D2925" s="11"/>
    </row>
    <row r="2926" ht="12.75">
      <c r="D2926" s="11"/>
    </row>
    <row r="2927" ht="12.75">
      <c r="D2927" s="11"/>
    </row>
    <row r="2928" ht="12.75">
      <c r="D2928" s="11"/>
    </row>
    <row r="2929" ht="12.75">
      <c r="D2929" s="11"/>
    </row>
    <row r="2930" ht="12.75">
      <c r="D2930" s="11"/>
    </row>
    <row r="2931" ht="12.75">
      <c r="D2931" s="11"/>
    </row>
    <row r="2932" ht="12.75">
      <c r="D2932" s="11"/>
    </row>
    <row r="2933" ht="12.75">
      <c r="D2933" s="11"/>
    </row>
    <row r="2934" ht="12.75">
      <c r="D2934" s="11"/>
    </row>
    <row r="2935" ht="12.75">
      <c r="D2935" s="11"/>
    </row>
    <row r="2936" ht="12.75">
      <c r="D2936" s="11"/>
    </row>
    <row r="2937" ht="12.75">
      <c r="D2937" s="11"/>
    </row>
    <row r="2938" ht="12.75">
      <c r="D2938" s="11"/>
    </row>
    <row r="2939" ht="12.75">
      <c r="D2939" s="11"/>
    </row>
    <row r="2940" ht="12.75">
      <c r="D2940" s="11"/>
    </row>
    <row r="2941" ht="12.75">
      <c r="D2941" s="11"/>
    </row>
    <row r="2942" ht="12.75">
      <c r="D2942" s="11"/>
    </row>
    <row r="2943" ht="12.75">
      <c r="D2943" s="11"/>
    </row>
    <row r="2944" ht="12.75">
      <c r="D2944" s="11"/>
    </row>
    <row r="2945" ht="12.75">
      <c r="D2945" s="11"/>
    </row>
    <row r="2946" ht="12.75">
      <c r="D2946" s="11"/>
    </row>
    <row r="2947" ht="12.75">
      <c r="D2947" s="11"/>
    </row>
    <row r="2948" ht="12.75">
      <c r="D2948" s="11"/>
    </row>
    <row r="2949" ht="12.75">
      <c r="D2949" s="11"/>
    </row>
    <row r="2950" ht="12.75">
      <c r="D2950" s="11"/>
    </row>
    <row r="2951" ht="12.75">
      <c r="D2951" s="11"/>
    </row>
    <row r="2952" ht="12.75">
      <c r="D2952" s="11"/>
    </row>
    <row r="2953" ht="12.75">
      <c r="D2953" s="11"/>
    </row>
    <row r="2954" ht="12.75">
      <c r="D2954" s="11"/>
    </row>
    <row r="2955" ht="12.75">
      <c r="D2955" s="11"/>
    </row>
    <row r="2956" ht="12.75">
      <c r="D2956" s="11"/>
    </row>
    <row r="2957" ht="12.75">
      <c r="D2957" s="11"/>
    </row>
    <row r="2958" ht="12.75">
      <c r="D2958" s="11"/>
    </row>
    <row r="2959" ht="12.75">
      <c r="D2959" s="11"/>
    </row>
    <row r="2960" ht="12.75">
      <c r="D2960" s="11"/>
    </row>
    <row r="2961" ht="12.75">
      <c r="D2961" s="11"/>
    </row>
    <row r="2962" ht="12.75">
      <c r="D2962" s="11"/>
    </row>
    <row r="2963" ht="12.75">
      <c r="D2963" s="11"/>
    </row>
    <row r="2964" ht="12.75">
      <c r="D2964" s="11"/>
    </row>
    <row r="2965" ht="12.75">
      <c r="D2965" s="11"/>
    </row>
    <row r="2966" ht="12.75">
      <c r="D2966" s="11"/>
    </row>
    <row r="2967" ht="12.75">
      <c r="D2967" s="11"/>
    </row>
    <row r="2968" ht="12.75">
      <c r="D2968" s="11"/>
    </row>
    <row r="2969" ht="12.75">
      <c r="D2969" s="11"/>
    </row>
    <row r="2970" ht="12.75">
      <c r="D2970" s="11"/>
    </row>
    <row r="2971" ht="12.75">
      <c r="D2971" s="11"/>
    </row>
    <row r="2972" ht="12.75">
      <c r="D2972" s="11"/>
    </row>
    <row r="2973" ht="12.75">
      <c r="D2973" s="11"/>
    </row>
    <row r="2974" ht="12.75">
      <c r="D2974" s="11"/>
    </row>
    <row r="2975" ht="12.75">
      <c r="D2975" s="11"/>
    </row>
    <row r="2976" ht="12.75">
      <c r="D2976" s="11"/>
    </row>
    <row r="2977" ht="12.75">
      <c r="D2977" s="11"/>
    </row>
    <row r="2978" ht="12.75">
      <c r="D2978" s="11"/>
    </row>
    <row r="2979" ht="12.75">
      <c r="D2979" s="11"/>
    </row>
    <row r="2980" ht="12.75">
      <c r="D2980" s="11"/>
    </row>
    <row r="2981" ht="12.75">
      <c r="D2981" s="11"/>
    </row>
    <row r="2982" ht="12.75">
      <c r="D2982" s="11"/>
    </row>
    <row r="2983" ht="12.75">
      <c r="D2983" s="11"/>
    </row>
    <row r="2984" ht="12.75">
      <c r="D2984" s="11"/>
    </row>
    <row r="2985" ht="12.75">
      <c r="D2985" s="11"/>
    </row>
    <row r="2986" ht="12.75">
      <c r="D2986" s="11"/>
    </row>
    <row r="2987" ht="12.75">
      <c r="D2987" s="11"/>
    </row>
    <row r="2988" ht="12.75">
      <c r="D2988" s="11"/>
    </row>
    <row r="2989" ht="12.75">
      <c r="D2989" s="11"/>
    </row>
    <row r="2990" ht="12.75">
      <c r="D2990" s="11"/>
    </row>
    <row r="2991" ht="12.75">
      <c r="D2991" s="11"/>
    </row>
    <row r="2992" ht="12.75">
      <c r="D2992" s="11"/>
    </row>
    <row r="2993" ht="12.75">
      <c r="D2993" s="11"/>
    </row>
    <row r="2994" ht="12.75">
      <c r="D2994" s="11"/>
    </row>
    <row r="2995" ht="12.75">
      <c r="D2995" s="11"/>
    </row>
    <row r="2996" ht="12.75">
      <c r="D2996" s="11"/>
    </row>
    <row r="2997" ht="12.75">
      <c r="D2997" s="11"/>
    </row>
    <row r="2998" ht="12.75">
      <c r="D2998" s="11"/>
    </row>
    <row r="2999" ht="12.75">
      <c r="D2999" s="11"/>
    </row>
    <row r="3000" ht="12.75">
      <c r="D3000" s="11"/>
    </row>
    <row r="3001" ht="12.75">
      <c r="D3001" s="11"/>
    </row>
    <row r="3002" ht="12.75">
      <c r="D3002" s="11"/>
    </row>
    <row r="3003" ht="12.75">
      <c r="D3003" s="11"/>
    </row>
    <row r="3004" ht="12.75">
      <c r="D3004" s="11"/>
    </row>
    <row r="3005" ht="12.75">
      <c r="D3005" s="11"/>
    </row>
    <row r="3006" ht="12.75">
      <c r="D3006" s="11"/>
    </row>
    <row r="3007" ht="12.75">
      <c r="D3007" s="11"/>
    </row>
    <row r="3008" ht="12.75">
      <c r="D3008" s="11"/>
    </row>
    <row r="3009" ht="12.75">
      <c r="D3009" s="11"/>
    </row>
    <row r="3010" ht="12.75">
      <c r="D3010" s="11"/>
    </row>
    <row r="3011" ht="12.75">
      <c r="D3011" s="11"/>
    </row>
    <row r="3012" ht="12.75">
      <c r="D3012" s="11"/>
    </row>
    <row r="3013" ht="12.75">
      <c r="D3013" s="11"/>
    </row>
    <row r="3014" ht="12.75">
      <c r="D3014" s="11"/>
    </row>
    <row r="3015" ht="12.75">
      <c r="D3015" s="11"/>
    </row>
    <row r="3016" ht="12.75">
      <c r="D3016" s="11"/>
    </row>
    <row r="3017" ht="12.75">
      <c r="D3017" s="11"/>
    </row>
    <row r="3018" ht="12.75">
      <c r="D3018" s="11"/>
    </row>
    <row r="3019" ht="12.75">
      <c r="D3019" s="11"/>
    </row>
    <row r="3020" ht="12.75">
      <c r="D3020" s="11"/>
    </row>
    <row r="3021" ht="12.75">
      <c r="D3021" s="11"/>
    </row>
    <row r="3022" ht="12.75">
      <c r="D3022" s="11"/>
    </row>
    <row r="3023" ht="12.75">
      <c r="D3023" s="11"/>
    </row>
    <row r="3024" ht="12.75">
      <c r="D3024" s="11"/>
    </row>
    <row r="3025" ht="12.75">
      <c r="D3025" s="11"/>
    </row>
    <row r="3026" ht="12.75">
      <c r="D3026" s="11"/>
    </row>
    <row r="3027" ht="12.75">
      <c r="D3027" s="11"/>
    </row>
    <row r="3028" ht="12.75">
      <c r="D3028" s="11"/>
    </row>
    <row r="3029" ht="12.75">
      <c r="D3029" s="11"/>
    </row>
    <row r="3030" ht="12.75">
      <c r="D3030" s="11"/>
    </row>
    <row r="3031" ht="12.75">
      <c r="D3031" s="11"/>
    </row>
    <row r="3032" ht="12.75">
      <c r="D3032" s="11"/>
    </row>
    <row r="3033" ht="12.75">
      <c r="D3033" s="11"/>
    </row>
    <row r="3034" ht="12.75">
      <c r="D3034" s="11"/>
    </row>
    <row r="3035" ht="12.75">
      <c r="D3035" s="11"/>
    </row>
    <row r="3036" ht="12.75">
      <c r="D3036" s="11"/>
    </row>
    <row r="3037" ht="12.75">
      <c r="D3037" s="11"/>
    </row>
    <row r="3038" ht="12.75">
      <c r="D3038" s="11"/>
    </row>
    <row r="3039" ht="12.75">
      <c r="D3039" s="11"/>
    </row>
    <row r="3040" ht="12.75">
      <c r="D3040" s="11"/>
    </row>
    <row r="3041" ht="12.75">
      <c r="D3041" s="11"/>
    </row>
    <row r="3042" ht="12.75">
      <c r="D3042" s="11"/>
    </row>
    <row r="3043" ht="12.75">
      <c r="D3043" s="11"/>
    </row>
    <row r="3044" ht="12.75">
      <c r="D3044" s="11"/>
    </row>
    <row r="3045" ht="12.75">
      <c r="D3045" s="11"/>
    </row>
    <row r="3046" ht="12.75">
      <c r="D3046" s="11"/>
    </row>
    <row r="3047" ht="12.75">
      <c r="D3047" s="11"/>
    </row>
    <row r="3048" ht="12.75">
      <c r="D3048" s="11"/>
    </row>
    <row r="3049" ht="12.75">
      <c r="D3049" s="11"/>
    </row>
    <row r="3050" ht="12.75">
      <c r="D3050" s="11"/>
    </row>
    <row r="3051" ht="12.75">
      <c r="D3051" s="11"/>
    </row>
    <row r="3052" ht="12.75">
      <c r="D3052" s="11"/>
    </row>
    <row r="3053" ht="12.75">
      <c r="D3053" s="11"/>
    </row>
    <row r="3054" ht="12.75">
      <c r="D3054" s="11"/>
    </row>
    <row r="3055" ht="12.75">
      <c r="D3055" s="11"/>
    </row>
    <row r="3056" ht="12.75">
      <c r="D3056" s="11"/>
    </row>
    <row r="3057" ht="12.75">
      <c r="D3057" s="11"/>
    </row>
    <row r="3058" ht="12.75">
      <c r="D3058" s="11"/>
    </row>
    <row r="3059" ht="12.75">
      <c r="D3059" s="11"/>
    </row>
    <row r="3060" ht="12.75">
      <c r="D3060" s="11"/>
    </row>
    <row r="3061" ht="12.75">
      <c r="D3061" s="11"/>
    </row>
    <row r="3062" ht="12.75">
      <c r="D3062" s="11"/>
    </row>
    <row r="3063" ht="12.75">
      <c r="D3063" s="11"/>
    </row>
    <row r="3064" ht="12.75">
      <c r="D3064" s="11"/>
    </row>
    <row r="3065" ht="12.75">
      <c r="D3065" s="11"/>
    </row>
    <row r="3066" ht="12.75">
      <c r="D3066" s="11"/>
    </row>
    <row r="3067" ht="12.75">
      <c r="D3067" s="11"/>
    </row>
    <row r="3068" ht="12.75">
      <c r="D3068" s="11"/>
    </row>
    <row r="3069" ht="12.75">
      <c r="D3069" s="11"/>
    </row>
    <row r="3070" ht="12.75">
      <c r="D3070" s="11"/>
    </row>
    <row r="3071" ht="12.75">
      <c r="D3071" s="11"/>
    </row>
    <row r="3072" ht="12.75">
      <c r="D3072" s="11"/>
    </row>
    <row r="3073" ht="12.75">
      <c r="D3073" s="11"/>
    </row>
    <row r="3074" ht="12.75">
      <c r="D3074" s="11"/>
    </row>
    <row r="3075" ht="12.75">
      <c r="D3075" s="11"/>
    </row>
    <row r="3076" ht="12.75">
      <c r="D3076" s="11"/>
    </row>
    <row r="3077" ht="12.75">
      <c r="D3077" s="11"/>
    </row>
    <row r="3078" ht="12.75">
      <c r="D3078" s="11"/>
    </row>
    <row r="3079" ht="12.75">
      <c r="D3079" s="11"/>
    </row>
    <row r="3080" ht="12.75">
      <c r="D3080" s="11"/>
    </row>
    <row r="3081" ht="12.75">
      <c r="D3081" s="11"/>
    </row>
    <row r="3082" ht="12.75">
      <c r="D3082" s="11"/>
    </row>
    <row r="3083" ht="12.75">
      <c r="D3083" s="11"/>
    </row>
    <row r="3084" ht="12.75">
      <c r="D3084" s="11"/>
    </row>
    <row r="3085" ht="12.75">
      <c r="D3085" s="11"/>
    </row>
    <row r="3086" ht="12.75">
      <c r="D3086" s="11"/>
    </row>
    <row r="3087" ht="12.75">
      <c r="D3087" s="11"/>
    </row>
    <row r="3088" ht="12.75">
      <c r="D3088" s="11"/>
    </row>
    <row r="3089" ht="12.75">
      <c r="D3089" s="11"/>
    </row>
    <row r="3090" ht="12.75">
      <c r="D3090" s="11"/>
    </row>
    <row r="3091" ht="12.75">
      <c r="D3091" s="11"/>
    </row>
    <row r="3092" ht="12.75">
      <c r="D3092" s="11"/>
    </row>
    <row r="3093" ht="12.75">
      <c r="D3093" s="11"/>
    </row>
    <row r="3094" ht="12.75">
      <c r="D3094" s="11"/>
    </row>
    <row r="3095" ht="12.75">
      <c r="D3095" s="11"/>
    </row>
    <row r="3096" ht="12.75">
      <c r="D3096" s="11"/>
    </row>
    <row r="3097" ht="12.75">
      <c r="D3097" s="11"/>
    </row>
    <row r="3098" ht="12.75">
      <c r="D3098" s="11"/>
    </row>
    <row r="3099" ht="12.75">
      <c r="D3099" s="11"/>
    </row>
    <row r="3100" ht="12.75">
      <c r="D3100" s="11"/>
    </row>
    <row r="3101" ht="12.75">
      <c r="D3101" s="11"/>
    </row>
    <row r="3102" ht="12.75">
      <c r="D3102" s="11"/>
    </row>
    <row r="3103" ht="12.75">
      <c r="D3103" s="11"/>
    </row>
    <row r="3104" ht="12.75">
      <c r="D3104" s="11"/>
    </row>
    <row r="3105" ht="12.75">
      <c r="D3105" s="11"/>
    </row>
    <row r="3106" ht="12.75">
      <c r="D3106" s="11"/>
    </row>
    <row r="3107" ht="12.75">
      <c r="D3107" s="11"/>
    </row>
    <row r="3108" ht="12.75">
      <c r="D3108" s="11"/>
    </row>
    <row r="3109" ht="12.75">
      <c r="D3109" s="11"/>
    </row>
    <row r="3110" ht="12.75">
      <c r="D3110" s="11"/>
    </row>
    <row r="3111" ht="12.75">
      <c r="D3111" s="11"/>
    </row>
    <row r="3112" ht="12.75">
      <c r="D3112" s="11"/>
    </row>
    <row r="3113" ht="12.75">
      <c r="D3113" s="11"/>
    </row>
    <row r="3114" ht="12.75">
      <c r="D3114" s="11"/>
    </row>
    <row r="3115" ht="12.75">
      <c r="D3115" s="11"/>
    </row>
    <row r="3116" ht="12.75">
      <c r="D3116" s="11"/>
    </row>
    <row r="3117" ht="12.75">
      <c r="D3117" s="11"/>
    </row>
    <row r="3118" ht="12.75">
      <c r="D3118" s="11"/>
    </row>
    <row r="3119" ht="12.75">
      <c r="D3119" s="11"/>
    </row>
    <row r="3120" ht="12.75">
      <c r="D3120" s="11"/>
    </row>
    <row r="3121" ht="12.75">
      <c r="D3121" s="11"/>
    </row>
    <row r="3122" ht="12.75">
      <c r="D3122" s="11"/>
    </row>
    <row r="3123" ht="12.75">
      <c r="D3123" s="11"/>
    </row>
    <row r="3124" ht="12.75">
      <c r="D3124" s="11"/>
    </row>
    <row r="3125" ht="12.75">
      <c r="D3125" s="11"/>
    </row>
    <row r="3126" ht="12.75">
      <c r="D3126" s="11"/>
    </row>
    <row r="3127" ht="12.75">
      <c r="D3127" s="11"/>
    </row>
    <row r="3128" ht="12.75">
      <c r="D3128" s="11"/>
    </row>
    <row r="3129" ht="12.75">
      <c r="D3129" s="11"/>
    </row>
    <row r="3130" ht="12.75">
      <c r="D3130" s="11"/>
    </row>
    <row r="3131" ht="12.75">
      <c r="D3131" s="11"/>
    </row>
    <row r="3132" ht="12.75">
      <c r="D3132" s="11"/>
    </row>
    <row r="3133" ht="12.75">
      <c r="D3133" s="11"/>
    </row>
    <row r="3134" ht="12.75">
      <c r="D3134" s="11"/>
    </row>
    <row r="3135" ht="12.75">
      <c r="D3135" s="11"/>
    </row>
    <row r="3136" ht="12.75">
      <c r="D3136" s="11"/>
    </row>
    <row r="3137" ht="12.75">
      <c r="D3137" s="11"/>
    </row>
    <row r="3138" ht="12.75">
      <c r="D3138" s="11"/>
    </row>
    <row r="3139" ht="12.75">
      <c r="D3139" s="11"/>
    </row>
    <row r="3140" ht="12.75">
      <c r="D3140" s="11"/>
    </row>
    <row r="3141" ht="12.75">
      <c r="D3141" s="11"/>
    </row>
    <row r="3142" ht="12.75">
      <c r="D3142" s="11"/>
    </row>
    <row r="3143" ht="12.75">
      <c r="D3143" s="11"/>
    </row>
    <row r="3144" ht="12.75">
      <c r="D3144" s="11"/>
    </row>
    <row r="3145" ht="12.75">
      <c r="D3145" s="11"/>
    </row>
    <row r="3146" ht="12.75">
      <c r="D3146" s="11"/>
    </row>
    <row r="3147" ht="12.75">
      <c r="D3147" s="11"/>
    </row>
    <row r="3148" ht="12.75">
      <c r="D3148" s="11"/>
    </row>
    <row r="3149" ht="12.75">
      <c r="D3149" s="11"/>
    </row>
    <row r="3150" ht="12.75">
      <c r="D3150" s="11"/>
    </row>
    <row r="3151" ht="12.75">
      <c r="D3151" s="11"/>
    </row>
    <row r="3152" ht="12.75">
      <c r="D3152" s="11"/>
    </row>
    <row r="3153" ht="12.75">
      <c r="D3153" s="11"/>
    </row>
    <row r="3154" ht="12.75">
      <c r="D3154" s="11"/>
    </row>
    <row r="3155" ht="12.75">
      <c r="D3155" s="11"/>
    </row>
    <row r="3156" ht="12.75">
      <c r="D3156" s="11"/>
    </row>
    <row r="3157" ht="12.75">
      <c r="D3157" s="11"/>
    </row>
    <row r="3158" ht="12.75">
      <c r="D3158" s="11"/>
    </row>
    <row r="3159" ht="12.75">
      <c r="D3159" s="11"/>
    </row>
    <row r="3160" ht="12.75">
      <c r="D3160" s="11"/>
    </row>
    <row r="3161" ht="12.75">
      <c r="D3161" s="11"/>
    </row>
    <row r="3162" ht="12.75">
      <c r="D3162" s="11"/>
    </row>
    <row r="3163" ht="12.75">
      <c r="D3163" s="11"/>
    </row>
    <row r="3164" ht="12.75">
      <c r="D3164" s="11"/>
    </row>
    <row r="3165" ht="12.75">
      <c r="D3165" s="11"/>
    </row>
    <row r="3166" ht="12.75">
      <c r="D3166" s="11"/>
    </row>
    <row r="3167" ht="12.75">
      <c r="D3167" s="11"/>
    </row>
    <row r="3168" ht="12.75">
      <c r="D3168" s="11"/>
    </row>
    <row r="3169" ht="12.75">
      <c r="D3169" s="11"/>
    </row>
    <row r="3170" ht="12.75">
      <c r="D3170" s="11"/>
    </row>
    <row r="3171" ht="12.75">
      <c r="D3171" s="11"/>
    </row>
    <row r="3172" ht="12.75">
      <c r="D3172" s="11"/>
    </row>
    <row r="3173" ht="12.75">
      <c r="D3173" s="11"/>
    </row>
    <row r="3174" ht="12.75">
      <c r="D3174" s="11"/>
    </row>
    <row r="3175" ht="12.75">
      <c r="D3175" s="11"/>
    </row>
    <row r="3176" ht="12.75">
      <c r="D3176" s="11"/>
    </row>
    <row r="3177" ht="12.75">
      <c r="D3177" s="11"/>
    </row>
    <row r="3178" ht="12.75">
      <c r="D3178" s="11"/>
    </row>
    <row r="3179" ht="12.75">
      <c r="D3179" s="11"/>
    </row>
    <row r="3180" ht="12.75">
      <c r="D3180" s="11"/>
    </row>
    <row r="3181" ht="12.75">
      <c r="D3181" s="11"/>
    </row>
    <row r="3182" ht="12.75">
      <c r="D3182" s="11"/>
    </row>
    <row r="3183" ht="12.75">
      <c r="D3183" s="11"/>
    </row>
    <row r="3184" ht="12.75">
      <c r="D3184" s="11"/>
    </row>
    <row r="3185" ht="12.75">
      <c r="D3185" s="11"/>
    </row>
    <row r="3186" ht="12.75">
      <c r="D3186" s="11"/>
    </row>
    <row r="3187" ht="12.75">
      <c r="D3187" s="11"/>
    </row>
    <row r="3188" ht="12.75">
      <c r="D3188" s="11"/>
    </row>
    <row r="3189" ht="12.75">
      <c r="D3189" s="11"/>
    </row>
    <row r="3190" ht="12.75">
      <c r="D3190" s="11"/>
    </row>
    <row r="3191" ht="12.75">
      <c r="D3191" s="11"/>
    </row>
    <row r="3192" ht="12.75">
      <c r="D3192" s="11"/>
    </row>
    <row r="3193" ht="12.75">
      <c r="D3193" s="11"/>
    </row>
    <row r="3194" ht="12.75">
      <c r="D3194" s="11"/>
    </row>
    <row r="3195" ht="12.75">
      <c r="D3195" s="11"/>
    </row>
    <row r="3196" ht="12.75">
      <c r="D3196" s="11"/>
    </row>
    <row r="3197" ht="12.75">
      <c r="D3197" s="11"/>
    </row>
    <row r="3198" ht="12.75">
      <c r="D3198" s="11"/>
    </row>
    <row r="3199" ht="12.75">
      <c r="D3199" s="11"/>
    </row>
    <row r="3200" ht="12.75">
      <c r="D3200" s="11"/>
    </row>
    <row r="3201" ht="12.75">
      <c r="D3201" s="11"/>
    </row>
    <row r="3202" ht="12.75">
      <c r="D3202" s="11"/>
    </row>
    <row r="3203" ht="12.75">
      <c r="D3203" s="11"/>
    </row>
    <row r="3204" ht="12.75">
      <c r="D3204" s="11"/>
    </row>
    <row r="3205" ht="12.75">
      <c r="D3205" s="11"/>
    </row>
    <row r="3206" ht="12.75">
      <c r="D3206" s="11"/>
    </row>
    <row r="3207" ht="12.75">
      <c r="D3207" s="11"/>
    </row>
    <row r="3208" ht="12.75">
      <c r="D3208" s="11"/>
    </row>
    <row r="3209" ht="12.75">
      <c r="D3209" s="11"/>
    </row>
    <row r="3210" ht="12.75">
      <c r="D3210" s="11"/>
    </row>
    <row r="3211" ht="12.75">
      <c r="D3211" s="11"/>
    </row>
    <row r="3212" ht="12.75">
      <c r="D3212" s="11"/>
    </row>
    <row r="3213" ht="12.75">
      <c r="D3213" s="11"/>
    </row>
    <row r="3214" ht="12.75">
      <c r="D3214" s="11"/>
    </row>
    <row r="3215" ht="12.75">
      <c r="D3215" s="11"/>
    </row>
    <row r="3216" ht="12.75">
      <c r="D3216" s="11"/>
    </row>
    <row r="3217" ht="12.75">
      <c r="D3217" s="11"/>
    </row>
    <row r="3218" ht="12.75">
      <c r="D3218" s="11"/>
    </row>
    <row r="3219" ht="12.75">
      <c r="D3219" s="11"/>
    </row>
    <row r="3220" ht="12.75">
      <c r="D3220" s="11"/>
    </row>
    <row r="3221" ht="12.75">
      <c r="D3221" s="11"/>
    </row>
    <row r="3222" ht="12.75">
      <c r="D3222" s="11"/>
    </row>
    <row r="3223" ht="12.75">
      <c r="D3223" s="11"/>
    </row>
    <row r="3224" ht="12.75">
      <c r="D3224" s="11"/>
    </row>
    <row r="3225" ht="12.75">
      <c r="D3225" s="11"/>
    </row>
    <row r="3226" ht="12.75">
      <c r="D3226" s="11"/>
    </row>
    <row r="3227" ht="12.75">
      <c r="D3227" s="11"/>
    </row>
    <row r="3228" ht="12.75">
      <c r="D3228" s="11"/>
    </row>
    <row r="3229" ht="12.75">
      <c r="D3229" s="11"/>
    </row>
    <row r="3230" ht="12.75">
      <c r="D3230" s="11"/>
    </row>
    <row r="3231" ht="12.75">
      <c r="D3231" s="11"/>
    </row>
    <row r="3232" ht="12.75">
      <c r="D3232" s="11"/>
    </row>
    <row r="3233" ht="12.75">
      <c r="D3233" s="11"/>
    </row>
    <row r="3234" ht="12.75">
      <c r="D3234" s="11"/>
    </row>
    <row r="3235" ht="12.75">
      <c r="D3235" s="11"/>
    </row>
    <row r="3236" ht="12.75">
      <c r="D3236" s="11"/>
    </row>
    <row r="3237" ht="12.75">
      <c r="D3237" s="11"/>
    </row>
    <row r="3238" ht="12.75">
      <c r="D3238" s="11"/>
    </row>
    <row r="3239" ht="12.75">
      <c r="D3239" s="11"/>
    </row>
    <row r="3240" ht="12.75">
      <c r="D3240" s="11"/>
    </row>
    <row r="3241" ht="12.75">
      <c r="D3241" s="11"/>
    </row>
    <row r="3242" ht="12.75">
      <c r="D3242" s="11"/>
    </row>
    <row r="3243" ht="12.75">
      <c r="D3243" s="11"/>
    </row>
    <row r="3244" ht="12.75">
      <c r="D3244" s="11"/>
    </row>
    <row r="3245" ht="12.75">
      <c r="D3245" s="11"/>
    </row>
    <row r="3246" ht="12.75">
      <c r="D3246" s="11"/>
    </row>
    <row r="3247" ht="12.75">
      <c r="D3247" s="11"/>
    </row>
    <row r="3248" ht="12.75">
      <c r="D3248" s="11"/>
    </row>
    <row r="3249" ht="12.75">
      <c r="D3249" s="11"/>
    </row>
    <row r="3250" ht="12.75">
      <c r="D3250" s="11"/>
    </row>
    <row r="3251" ht="12.75">
      <c r="D3251" s="11"/>
    </row>
    <row r="3252" ht="12.75">
      <c r="D3252" s="11"/>
    </row>
    <row r="3253" ht="12.75">
      <c r="D3253" s="11"/>
    </row>
    <row r="3254" ht="12.75">
      <c r="D3254" s="11"/>
    </row>
    <row r="3255" ht="12.75">
      <c r="D3255" s="11"/>
    </row>
    <row r="3256" ht="12.75">
      <c r="D3256" s="11"/>
    </row>
    <row r="3257" ht="12.75">
      <c r="D3257" s="11"/>
    </row>
    <row r="3258" ht="12.75">
      <c r="D3258" s="11"/>
    </row>
    <row r="3259" ht="12.75">
      <c r="D3259" s="11"/>
    </row>
    <row r="3260" ht="12.75">
      <c r="D3260" s="11"/>
    </row>
    <row r="3261" ht="12.75">
      <c r="D3261" s="11"/>
    </row>
    <row r="3262" ht="12.75">
      <c r="D3262" s="11"/>
    </row>
    <row r="3263" ht="12.75">
      <c r="D3263" s="11"/>
    </row>
    <row r="3264" ht="12.75">
      <c r="D3264" s="11"/>
    </row>
    <row r="3265" ht="12.75">
      <c r="D3265" s="11"/>
    </row>
    <row r="3266" ht="12.75">
      <c r="D3266" s="11"/>
    </row>
    <row r="3267" ht="12.75">
      <c r="D3267" s="11"/>
    </row>
    <row r="3268" ht="12.75">
      <c r="D3268" s="11"/>
    </row>
    <row r="3269" ht="12.75">
      <c r="D3269" s="11"/>
    </row>
    <row r="3270" ht="12.75">
      <c r="D3270" s="11"/>
    </row>
    <row r="3271" ht="12.75">
      <c r="D3271" s="11"/>
    </row>
    <row r="3272" ht="12.75">
      <c r="D3272" s="11"/>
    </row>
    <row r="3273" ht="12.75">
      <c r="D3273" s="11"/>
    </row>
    <row r="3274" ht="12.75">
      <c r="D3274" s="11"/>
    </row>
    <row r="3275" ht="12.75">
      <c r="D3275" s="11"/>
    </row>
    <row r="3276" ht="12.75">
      <c r="D3276" s="11"/>
    </row>
    <row r="3277" ht="12.75">
      <c r="D3277" s="11"/>
    </row>
    <row r="3278" ht="12.75">
      <c r="D3278" s="11"/>
    </row>
    <row r="3279" ht="12.75">
      <c r="D3279" s="11"/>
    </row>
    <row r="3280" ht="12.75">
      <c r="D3280" s="11"/>
    </row>
    <row r="3281" ht="12.75">
      <c r="D3281" s="11"/>
    </row>
    <row r="3282" ht="12.75">
      <c r="D3282" s="11"/>
    </row>
    <row r="3283" ht="12.75">
      <c r="D3283" s="11"/>
    </row>
    <row r="3284" ht="12.75">
      <c r="D3284" s="11"/>
    </row>
    <row r="3285" ht="12.75">
      <c r="D3285" s="11"/>
    </row>
    <row r="3286" ht="12.75">
      <c r="D3286" s="11"/>
    </row>
    <row r="3287" ht="12.75">
      <c r="D3287" s="11"/>
    </row>
    <row r="3288" ht="12.75">
      <c r="D3288" s="11"/>
    </row>
    <row r="3289" ht="12.75">
      <c r="D3289" s="11"/>
    </row>
    <row r="3290" ht="12.75">
      <c r="D3290" s="11"/>
    </row>
    <row r="3291" ht="12.75">
      <c r="D3291" s="11"/>
    </row>
    <row r="3292" ht="12.75">
      <c r="D3292" s="11"/>
    </row>
    <row r="3293" ht="12.75">
      <c r="D3293" s="11"/>
    </row>
    <row r="3294" ht="12.75">
      <c r="D3294" s="11"/>
    </row>
    <row r="3295" ht="12.75">
      <c r="D3295" s="11"/>
    </row>
    <row r="3296" ht="12.75">
      <c r="D3296" s="11"/>
    </row>
    <row r="3297" ht="12.75">
      <c r="D3297" s="11"/>
    </row>
    <row r="3298" ht="12.75">
      <c r="D3298" s="11"/>
    </row>
    <row r="3299" ht="12.75">
      <c r="D3299" s="11"/>
    </row>
    <row r="3300" ht="12.75">
      <c r="D3300" s="11"/>
    </row>
    <row r="3301" ht="12.75">
      <c r="D3301" s="11"/>
    </row>
    <row r="3302" ht="12.75">
      <c r="D3302" s="11"/>
    </row>
    <row r="3303" ht="12.75">
      <c r="D3303" s="11"/>
    </row>
    <row r="3304" ht="12.75">
      <c r="D3304" s="11"/>
    </row>
    <row r="3305" ht="12.75">
      <c r="D3305" s="11"/>
    </row>
    <row r="3306" ht="12.75">
      <c r="D3306" s="11"/>
    </row>
    <row r="3307" ht="12.75">
      <c r="D3307" s="11"/>
    </row>
    <row r="3308" ht="12.75">
      <c r="D3308" s="11"/>
    </row>
    <row r="3309" ht="12.75">
      <c r="D3309" s="11"/>
    </row>
    <row r="3310" ht="12.75">
      <c r="D3310" s="11"/>
    </row>
    <row r="3311" ht="12.75">
      <c r="D3311" s="11"/>
    </row>
    <row r="3312" ht="12.75">
      <c r="D3312" s="11"/>
    </row>
    <row r="3313" ht="12.75">
      <c r="D3313" s="11"/>
    </row>
    <row r="3314" ht="12.75">
      <c r="D3314" s="11"/>
    </row>
    <row r="3315" ht="12.75">
      <c r="D3315" s="11"/>
    </row>
    <row r="3316" ht="12.75">
      <c r="D3316" s="11"/>
    </row>
    <row r="3317" ht="12.75">
      <c r="D3317" s="11"/>
    </row>
    <row r="3318" ht="12.75">
      <c r="D3318" s="11"/>
    </row>
    <row r="3319" ht="12.75">
      <c r="D3319" s="11"/>
    </row>
    <row r="3320" ht="12.75">
      <c r="D3320" s="11"/>
    </row>
    <row r="3321" ht="12.75">
      <c r="D3321" s="11"/>
    </row>
    <row r="3322" ht="12.75">
      <c r="D3322" s="11"/>
    </row>
    <row r="3323" ht="12.75">
      <c r="D3323" s="11"/>
    </row>
    <row r="3324" ht="12.75">
      <c r="D3324" s="11"/>
    </row>
    <row r="3325" ht="12.75">
      <c r="D3325" s="11"/>
    </row>
    <row r="3326" ht="12.75">
      <c r="D3326" s="11"/>
    </row>
    <row r="3327" ht="12.75">
      <c r="D3327" s="11"/>
    </row>
    <row r="3328" ht="12.75">
      <c r="D3328" s="11"/>
    </row>
    <row r="3329" ht="12.75">
      <c r="D3329" s="11"/>
    </row>
    <row r="3330" ht="12.75">
      <c r="D3330" s="11"/>
    </row>
    <row r="3331" ht="12.75">
      <c r="D3331" s="11"/>
    </row>
    <row r="3332" ht="12.75">
      <c r="D3332" s="11"/>
    </row>
    <row r="3333" ht="12.75">
      <c r="D3333" s="11"/>
    </row>
    <row r="3334" ht="12.75">
      <c r="D3334" s="11"/>
    </row>
    <row r="3335" ht="12.75">
      <c r="D3335" s="11"/>
    </row>
    <row r="3336" ht="12.75">
      <c r="D3336" s="11"/>
    </row>
    <row r="3337" ht="12.75">
      <c r="D3337" s="11"/>
    </row>
    <row r="3338" ht="12.75">
      <c r="D3338" s="11"/>
    </row>
    <row r="3339" ht="12.75">
      <c r="D3339" s="11"/>
    </row>
    <row r="3340" ht="12.75">
      <c r="D3340" s="11"/>
    </row>
    <row r="3341" ht="12.75">
      <c r="D3341" s="11"/>
    </row>
    <row r="3342" ht="12.75">
      <c r="D3342" s="11"/>
    </row>
    <row r="3343" ht="12.75">
      <c r="D3343" s="11"/>
    </row>
    <row r="3344" ht="12.75">
      <c r="D3344" s="11"/>
    </row>
    <row r="3345" ht="12.75">
      <c r="D3345" s="11"/>
    </row>
    <row r="3346" ht="12.75">
      <c r="D3346" s="11"/>
    </row>
    <row r="3347" ht="12.75">
      <c r="D3347" s="11"/>
    </row>
    <row r="3348" ht="12.75">
      <c r="D3348" s="11"/>
    </row>
    <row r="3349" ht="12.75">
      <c r="D3349" s="11"/>
    </row>
    <row r="3350" ht="12.75">
      <c r="D3350" s="11"/>
    </row>
    <row r="3351" ht="12.75">
      <c r="D3351" s="11"/>
    </row>
    <row r="3352" ht="12.75">
      <c r="D3352" s="11"/>
    </row>
    <row r="3353" ht="12.75">
      <c r="D3353" s="11"/>
    </row>
    <row r="3354" ht="12.75">
      <c r="D3354" s="11"/>
    </row>
    <row r="3355" ht="12.75">
      <c r="D3355" s="11"/>
    </row>
    <row r="3356" ht="12.75">
      <c r="D3356" s="11"/>
    </row>
    <row r="3357" ht="12.75">
      <c r="D3357" s="11"/>
    </row>
    <row r="3358" ht="12.75">
      <c r="D3358" s="11"/>
    </row>
    <row r="3359" ht="12.75">
      <c r="D3359" s="11"/>
    </row>
    <row r="3360" ht="12.75">
      <c r="D3360" s="11"/>
    </row>
    <row r="3361" ht="12.75">
      <c r="D3361" s="11"/>
    </row>
    <row r="3362" ht="12.75">
      <c r="D3362" s="11"/>
    </row>
    <row r="3363" ht="12.75">
      <c r="D3363" s="11"/>
    </row>
    <row r="3364" ht="12.75">
      <c r="D3364" s="11"/>
    </row>
    <row r="3365" ht="12.75">
      <c r="D3365" s="11"/>
    </row>
    <row r="3366" ht="12.75">
      <c r="D3366" s="11"/>
    </row>
    <row r="3367" ht="12.75">
      <c r="D3367" s="11"/>
    </row>
    <row r="3368" ht="12.75">
      <c r="D3368" s="11"/>
    </row>
    <row r="3369" ht="12.75">
      <c r="D3369" s="11"/>
    </row>
    <row r="3370" ht="12.75">
      <c r="D3370" s="11"/>
    </row>
    <row r="3371" ht="12.75">
      <c r="D3371" s="11"/>
    </row>
    <row r="3372" ht="12.75">
      <c r="D3372" s="11"/>
    </row>
    <row r="3373" ht="12.75">
      <c r="D3373" s="11"/>
    </row>
    <row r="3374" ht="12.75">
      <c r="D3374" s="11"/>
    </row>
    <row r="3375" ht="12.75">
      <c r="D3375" s="11"/>
    </row>
    <row r="3376" ht="12.75">
      <c r="D3376" s="11"/>
    </row>
    <row r="3377" ht="12.75">
      <c r="D3377" s="11"/>
    </row>
    <row r="3378" ht="12.75">
      <c r="D3378" s="11"/>
    </row>
    <row r="3379" ht="12.75">
      <c r="D3379" s="11"/>
    </row>
    <row r="3380" ht="12.75">
      <c r="D3380" s="11"/>
    </row>
    <row r="3381" ht="12.75">
      <c r="D3381" s="11"/>
    </row>
    <row r="3382" ht="12.75">
      <c r="D3382" s="11"/>
    </row>
    <row r="3383" ht="12.75">
      <c r="D3383" s="11"/>
    </row>
    <row r="3384" ht="12.75">
      <c r="D3384" s="11"/>
    </row>
    <row r="3385" ht="12.75">
      <c r="D3385" s="11"/>
    </row>
    <row r="3386" ht="12.75">
      <c r="D3386" s="11"/>
    </row>
    <row r="3387" ht="12.75">
      <c r="D3387" s="11"/>
    </row>
    <row r="3388" ht="12.75">
      <c r="D3388" s="11"/>
    </row>
    <row r="3389" ht="12.75">
      <c r="D3389" s="11"/>
    </row>
    <row r="3390" ht="12.75">
      <c r="D3390" s="11"/>
    </row>
    <row r="3391" ht="12.75">
      <c r="D3391" s="11"/>
    </row>
    <row r="3392" ht="12.75">
      <c r="D3392" s="11"/>
    </row>
    <row r="3393" ht="12.75">
      <c r="D3393" s="11"/>
    </row>
    <row r="3394" ht="12.75">
      <c r="D3394" s="11"/>
    </row>
    <row r="3395" ht="12.75">
      <c r="D3395" s="11"/>
    </row>
    <row r="3396" ht="12.75">
      <c r="D3396" s="11"/>
    </row>
    <row r="3397" ht="12.75">
      <c r="D3397" s="11"/>
    </row>
    <row r="3398" ht="12.75">
      <c r="D3398" s="11"/>
    </row>
    <row r="3399" ht="12.75">
      <c r="D3399" s="11"/>
    </row>
    <row r="3400" ht="12.75">
      <c r="D3400" s="11"/>
    </row>
    <row r="3401" ht="12.75">
      <c r="D3401" s="11"/>
    </row>
    <row r="3402" ht="12.75">
      <c r="D3402" s="11"/>
    </row>
    <row r="3403" ht="12.75">
      <c r="D3403" s="11"/>
    </row>
    <row r="3404" ht="12.75">
      <c r="D3404" s="11"/>
    </row>
    <row r="3405" ht="12.75">
      <c r="D3405" s="11"/>
    </row>
    <row r="3406" ht="12.75">
      <c r="D3406" s="11"/>
    </row>
    <row r="3407" ht="12.75">
      <c r="D3407" s="11"/>
    </row>
    <row r="3408" ht="12.75">
      <c r="D3408" s="11"/>
    </row>
    <row r="3409" ht="12.75">
      <c r="D3409" s="11"/>
    </row>
    <row r="3410" ht="12.75">
      <c r="D3410" s="11"/>
    </row>
    <row r="3411" ht="12.75">
      <c r="D3411" s="11"/>
    </row>
    <row r="3412" ht="12.75">
      <c r="D3412" s="11"/>
    </row>
    <row r="3413" ht="12.75">
      <c r="D3413" s="11"/>
    </row>
    <row r="3414" ht="12.75">
      <c r="D3414" s="11"/>
    </row>
    <row r="3415" ht="12.75">
      <c r="D3415" s="11"/>
    </row>
    <row r="3416" ht="12.75">
      <c r="D3416" s="11"/>
    </row>
    <row r="3417" ht="12.75">
      <c r="D3417" s="11"/>
    </row>
    <row r="3418" ht="12.75">
      <c r="D3418" s="11"/>
    </row>
    <row r="3419" ht="12.75">
      <c r="D3419" s="11"/>
    </row>
    <row r="3420" ht="12.75">
      <c r="D3420" s="11"/>
    </row>
    <row r="3421" ht="12.75">
      <c r="D3421" s="11"/>
    </row>
    <row r="3422" ht="12.75">
      <c r="D3422" s="11"/>
    </row>
    <row r="3423" ht="12.75">
      <c r="D3423" s="11"/>
    </row>
    <row r="3424" ht="12.75">
      <c r="D3424" s="11"/>
    </row>
    <row r="3425" ht="12.75">
      <c r="D3425" s="11"/>
    </row>
    <row r="3426" ht="12.75">
      <c r="D3426" s="11"/>
    </row>
    <row r="3427" ht="12.75">
      <c r="D3427" s="11"/>
    </row>
    <row r="3428" ht="12.75">
      <c r="D3428" s="11"/>
    </row>
    <row r="3429" ht="12.75">
      <c r="D3429" s="11"/>
    </row>
    <row r="3430" ht="12.75">
      <c r="D3430" s="11"/>
    </row>
    <row r="3431" ht="12.75">
      <c r="D3431" s="11"/>
    </row>
    <row r="3432" ht="12.75">
      <c r="D3432" s="11"/>
    </row>
    <row r="3433" ht="12.75">
      <c r="D3433" s="11"/>
    </row>
    <row r="3434" ht="12.75">
      <c r="D3434" s="11"/>
    </row>
    <row r="3435" ht="12.75">
      <c r="D3435" s="11"/>
    </row>
    <row r="3436" ht="12.75">
      <c r="D3436" s="11"/>
    </row>
    <row r="3437" ht="12.75">
      <c r="D3437" s="11"/>
    </row>
    <row r="3438" ht="12.75">
      <c r="D3438" s="11"/>
    </row>
    <row r="3439" ht="12.75">
      <c r="D3439" s="11"/>
    </row>
    <row r="3440" ht="12.75">
      <c r="D3440" s="11"/>
    </row>
    <row r="3441" ht="12.75">
      <c r="D3441" s="11"/>
    </row>
    <row r="3442" ht="12.75">
      <c r="D3442" s="11"/>
    </row>
    <row r="3443" ht="12.75">
      <c r="D3443" s="11"/>
    </row>
    <row r="3444" ht="12.75">
      <c r="D3444" s="11"/>
    </row>
    <row r="3445" ht="12.75">
      <c r="D3445" s="11"/>
    </row>
    <row r="3446" ht="12.75">
      <c r="D3446" s="11"/>
    </row>
    <row r="3447" ht="12.75">
      <c r="D3447" s="11"/>
    </row>
    <row r="3448" ht="12.75">
      <c r="D3448" s="11"/>
    </row>
    <row r="3449" ht="12.75">
      <c r="D3449" s="11"/>
    </row>
    <row r="3450" ht="12.75">
      <c r="D3450" s="11"/>
    </row>
    <row r="3451" ht="12.75">
      <c r="D3451" s="11"/>
    </row>
    <row r="3452" ht="12.75">
      <c r="D3452" s="11"/>
    </row>
    <row r="3453" ht="12.75">
      <c r="D3453" s="11"/>
    </row>
    <row r="3454" ht="12.75">
      <c r="D3454" s="11"/>
    </row>
    <row r="3455" ht="12.75">
      <c r="D3455" s="11"/>
    </row>
    <row r="3456" ht="12.75">
      <c r="D3456" s="11"/>
    </row>
    <row r="3457" ht="12.75">
      <c r="D3457" s="11"/>
    </row>
    <row r="3458" ht="12.75">
      <c r="D3458" s="11"/>
    </row>
    <row r="3459" ht="12.75">
      <c r="D3459" s="11"/>
    </row>
    <row r="3460" ht="12.75">
      <c r="D3460" s="11"/>
    </row>
    <row r="3461" ht="12.75">
      <c r="D3461" s="11"/>
    </row>
    <row r="3462" ht="12.75">
      <c r="D3462" s="11"/>
    </row>
    <row r="3463" ht="12.75">
      <c r="D3463" s="11"/>
    </row>
    <row r="3464" ht="12.75">
      <c r="D3464" s="11"/>
    </row>
    <row r="3465" ht="12.75">
      <c r="D3465" s="11"/>
    </row>
    <row r="3466" ht="12.75">
      <c r="D3466" s="11"/>
    </row>
    <row r="3467" ht="12.75">
      <c r="D3467" s="11"/>
    </row>
    <row r="3468" ht="12.75">
      <c r="D3468" s="11"/>
    </row>
    <row r="3469" ht="12.75">
      <c r="D3469" s="11"/>
    </row>
    <row r="3470" ht="12.75">
      <c r="D3470" s="11"/>
    </row>
    <row r="3471" ht="12.75">
      <c r="D3471" s="11"/>
    </row>
    <row r="3472" ht="12.75">
      <c r="D3472" s="11"/>
    </row>
    <row r="3473" ht="12.75">
      <c r="D3473" s="11"/>
    </row>
    <row r="3474" ht="12.75">
      <c r="D3474" s="11"/>
    </row>
    <row r="3475" ht="12.75">
      <c r="D3475" s="11"/>
    </row>
    <row r="3476" ht="12.75">
      <c r="D3476" s="11"/>
    </row>
    <row r="3477" ht="12.75">
      <c r="D3477" s="11"/>
    </row>
    <row r="3478" ht="12.75">
      <c r="D3478" s="11"/>
    </row>
    <row r="3479" ht="12.75">
      <c r="D3479" s="11"/>
    </row>
    <row r="3480" ht="12.75">
      <c r="D3480" s="11"/>
    </row>
    <row r="3481" ht="12.75">
      <c r="D3481" s="11"/>
    </row>
    <row r="3482" ht="12.75">
      <c r="D3482" s="11"/>
    </row>
    <row r="3483" ht="12.75">
      <c r="D3483" s="11"/>
    </row>
    <row r="3484" ht="12.75">
      <c r="D3484" s="11"/>
    </row>
    <row r="3485" ht="12.75">
      <c r="D3485" s="11"/>
    </row>
    <row r="3486" ht="12.75">
      <c r="D3486" s="11"/>
    </row>
    <row r="3487" ht="12.75">
      <c r="D3487" s="11"/>
    </row>
    <row r="3488" ht="12.75">
      <c r="D3488" s="11"/>
    </row>
    <row r="3489" ht="12.75">
      <c r="D3489" s="11"/>
    </row>
    <row r="3490" ht="12.75">
      <c r="D3490" s="11"/>
    </row>
    <row r="3491" ht="12.75">
      <c r="D3491" s="11"/>
    </row>
    <row r="3492" ht="12.75">
      <c r="D3492" s="11"/>
    </row>
    <row r="3493" ht="12.75">
      <c r="D3493" s="11"/>
    </row>
    <row r="3494" ht="12.75">
      <c r="D3494" s="11"/>
    </row>
    <row r="3495" ht="12.75">
      <c r="D3495" s="11"/>
    </row>
    <row r="3496" ht="12.75">
      <c r="D3496" s="11"/>
    </row>
    <row r="3497" ht="12.75">
      <c r="D3497" s="11"/>
    </row>
    <row r="3498" ht="12.75">
      <c r="D3498" s="11"/>
    </row>
    <row r="3499" ht="12.75">
      <c r="D3499" s="11"/>
    </row>
    <row r="3500" ht="12.75">
      <c r="D3500" s="11"/>
    </row>
    <row r="3501" ht="12.75">
      <c r="D3501" s="11"/>
    </row>
    <row r="3502" ht="12.75">
      <c r="D3502" s="11"/>
    </row>
    <row r="3503" ht="12.75">
      <c r="D3503" s="11"/>
    </row>
    <row r="3504" ht="12.75">
      <c r="D3504" s="11"/>
    </row>
    <row r="3505" ht="12.75">
      <c r="D3505" s="11"/>
    </row>
    <row r="3506" ht="12.75">
      <c r="D3506" s="11"/>
    </row>
    <row r="3507" ht="12.75">
      <c r="D3507" s="11"/>
    </row>
    <row r="3508" ht="12.75">
      <c r="D3508" s="11"/>
    </row>
    <row r="3509" ht="12.75">
      <c r="D3509" s="11"/>
    </row>
    <row r="3510" ht="12.75">
      <c r="D3510" s="11"/>
    </row>
    <row r="3511" ht="12.75">
      <c r="D3511" s="11"/>
    </row>
    <row r="3512" ht="12.75">
      <c r="D3512" s="11"/>
    </row>
    <row r="3513" ht="12.75">
      <c r="D3513" s="11"/>
    </row>
    <row r="3514" ht="12.75">
      <c r="D3514" s="11"/>
    </row>
    <row r="3515" ht="12.75">
      <c r="D3515" s="11"/>
    </row>
    <row r="3516" ht="12.75">
      <c r="D3516" s="11"/>
    </row>
    <row r="3517" ht="12.75">
      <c r="D3517" s="11"/>
    </row>
    <row r="3518" ht="12.75">
      <c r="D3518" s="11"/>
    </row>
    <row r="3519" ht="12.75">
      <c r="D3519" s="11"/>
    </row>
    <row r="3520" ht="12.75">
      <c r="D3520" s="11"/>
    </row>
    <row r="3521" ht="12.75">
      <c r="D3521" s="11"/>
    </row>
    <row r="3522" ht="12.75">
      <c r="D3522" s="11"/>
    </row>
    <row r="3523" ht="12.75">
      <c r="D3523" s="11"/>
    </row>
    <row r="3524" ht="12.75">
      <c r="D3524" s="11"/>
    </row>
    <row r="3525" ht="12.75">
      <c r="D3525" s="11"/>
    </row>
    <row r="3526" ht="12.75">
      <c r="D3526" s="11"/>
    </row>
    <row r="3527" ht="12.75">
      <c r="D3527" s="11"/>
    </row>
    <row r="3528" ht="12.75">
      <c r="D3528" s="11"/>
    </row>
    <row r="3529" ht="12.75">
      <c r="D3529" s="11"/>
    </row>
    <row r="3530" ht="12.75">
      <c r="D3530" s="11"/>
    </row>
    <row r="3531" ht="12.75">
      <c r="D3531" s="11"/>
    </row>
    <row r="3532" ht="12.75">
      <c r="D3532" s="11"/>
    </row>
    <row r="3533" ht="12.75">
      <c r="D3533" s="11"/>
    </row>
    <row r="3534" ht="12.75">
      <c r="D3534" s="11"/>
    </row>
    <row r="3535" ht="12.75">
      <c r="D3535" s="11"/>
    </row>
    <row r="3536" ht="12.75">
      <c r="D3536" s="11"/>
    </row>
    <row r="3537" ht="12.75">
      <c r="D3537" s="11"/>
    </row>
    <row r="3538" ht="12.75">
      <c r="D3538" s="11"/>
    </row>
    <row r="3539" ht="12.75">
      <c r="D3539" s="11"/>
    </row>
    <row r="3540" ht="12.75">
      <c r="D3540" s="11"/>
    </row>
    <row r="3541" ht="12.75">
      <c r="D3541" s="11"/>
    </row>
    <row r="3542" ht="12.75">
      <c r="D3542" s="11"/>
    </row>
    <row r="3543" ht="12.75">
      <c r="D3543" s="11"/>
    </row>
    <row r="3544" ht="12.75">
      <c r="D3544" s="11"/>
    </row>
    <row r="3545" ht="12.75">
      <c r="D3545" s="11"/>
    </row>
    <row r="3546" ht="12.75">
      <c r="D3546" s="11"/>
    </row>
    <row r="3547" ht="12.75">
      <c r="D3547" s="11"/>
    </row>
    <row r="3548" ht="12.75">
      <c r="D3548" s="11"/>
    </row>
    <row r="3549" ht="12.75">
      <c r="D3549" s="11"/>
    </row>
    <row r="3550" ht="12.75">
      <c r="D3550" s="11"/>
    </row>
    <row r="3551" ht="12.75">
      <c r="D3551" s="11"/>
    </row>
    <row r="3552" ht="12.75">
      <c r="D3552" s="11"/>
    </row>
    <row r="3553" ht="12.75">
      <c r="D3553" s="11"/>
    </row>
    <row r="3554" ht="12.75">
      <c r="D3554" s="11"/>
    </row>
    <row r="3555" ht="12.75">
      <c r="D3555" s="11"/>
    </row>
    <row r="3556" ht="12.75">
      <c r="D3556" s="11"/>
    </row>
    <row r="3557" ht="12.75">
      <c r="D3557" s="11"/>
    </row>
    <row r="3558" ht="12.75">
      <c r="D3558" s="11"/>
    </row>
    <row r="3559" ht="12.75">
      <c r="D3559" s="11"/>
    </row>
    <row r="3560" ht="12.75">
      <c r="D3560" s="11"/>
    </row>
    <row r="3561" ht="12.75">
      <c r="D3561" s="11"/>
    </row>
    <row r="3562" ht="12.75">
      <c r="D3562" s="11"/>
    </row>
    <row r="3563" ht="12.75">
      <c r="D3563" s="11"/>
    </row>
    <row r="3564" ht="12.75">
      <c r="D3564" s="11"/>
    </row>
    <row r="3565" ht="12.75">
      <c r="D3565" s="11"/>
    </row>
    <row r="3566" ht="12.75">
      <c r="D3566" s="11"/>
    </row>
    <row r="3567" ht="12.75">
      <c r="D3567" s="11"/>
    </row>
    <row r="3568" ht="12.75">
      <c r="D3568" s="11"/>
    </row>
    <row r="3569" ht="12.75">
      <c r="D3569" s="11"/>
    </row>
    <row r="3570" ht="12.75">
      <c r="D3570" s="11"/>
    </row>
    <row r="3571" ht="12.75">
      <c r="D3571" s="11"/>
    </row>
    <row r="3572" ht="12.75">
      <c r="D3572" s="11"/>
    </row>
    <row r="3573" ht="12.75">
      <c r="D3573" s="11"/>
    </row>
    <row r="3574" ht="12.75">
      <c r="D3574" s="11"/>
    </row>
    <row r="3575" ht="12.75">
      <c r="D3575" s="11"/>
    </row>
    <row r="3576" ht="12.75">
      <c r="D3576" s="11"/>
    </row>
    <row r="3577" ht="12.75">
      <c r="D3577" s="11"/>
    </row>
    <row r="3578" ht="12.75">
      <c r="D3578" s="11"/>
    </row>
    <row r="3579" ht="12.75">
      <c r="D3579" s="11"/>
    </row>
    <row r="3580" ht="12.75">
      <c r="D3580" s="11"/>
    </row>
    <row r="3581" ht="12.75">
      <c r="D3581" s="11"/>
    </row>
    <row r="3582" ht="12.75">
      <c r="D3582" s="11"/>
    </row>
    <row r="3583" ht="12.75">
      <c r="D3583" s="11"/>
    </row>
    <row r="3584" ht="12.75">
      <c r="D3584" s="11"/>
    </row>
    <row r="3585" ht="12.75">
      <c r="D3585" s="11"/>
    </row>
    <row r="3586" ht="12.75">
      <c r="D3586" s="11"/>
    </row>
    <row r="3587" ht="12.75">
      <c r="D3587" s="11"/>
    </row>
    <row r="3588" ht="12.75">
      <c r="D3588" s="11"/>
    </row>
    <row r="3589" ht="12.75">
      <c r="D3589" s="11"/>
    </row>
    <row r="3590" ht="12.75">
      <c r="D3590" s="11"/>
    </row>
    <row r="3591" ht="12.75">
      <c r="D3591" s="11"/>
    </row>
    <row r="3592" ht="12.75">
      <c r="D3592" s="11"/>
    </row>
    <row r="3593" ht="12.75">
      <c r="D3593" s="11"/>
    </row>
    <row r="3594" ht="12.75">
      <c r="D3594" s="11"/>
    </row>
    <row r="3595" ht="12.75">
      <c r="D3595" s="11"/>
    </row>
    <row r="3596" ht="12.75">
      <c r="D3596" s="11"/>
    </row>
    <row r="3597" ht="12.75">
      <c r="D3597" s="11"/>
    </row>
    <row r="3598" ht="12.75">
      <c r="D3598" s="11"/>
    </row>
    <row r="3599" ht="12.75">
      <c r="D3599" s="11"/>
    </row>
    <row r="3600" ht="12.75">
      <c r="D3600" s="11"/>
    </row>
    <row r="3601" ht="12.75">
      <c r="D3601" s="11"/>
    </row>
    <row r="3602" ht="12.75">
      <c r="D3602" s="11"/>
    </row>
    <row r="3603" ht="12.75">
      <c r="D3603" s="11"/>
    </row>
    <row r="3604" ht="12.75">
      <c r="D3604" s="11"/>
    </row>
    <row r="3605" ht="12.75">
      <c r="D3605" s="11"/>
    </row>
    <row r="3606" ht="12.75">
      <c r="D3606" s="11"/>
    </row>
    <row r="3607" ht="12.75">
      <c r="D3607" s="11"/>
    </row>
    <row r="3608" ht="12.75">
      <c r="D3608" s="11"/>
    </row>
    <row r="3609" ht="12.75">
      <c r="D3609" s="11"/>
    </row>
    <row r="3610" ht="12.75">
      <c r="D3610" s="11"/>
    </row>
    <row r="3611" ht="12.75">
      <c r="D3611" s="11"/>
    </row>
    <row r="3612" ht="12.75">
      <c r="D3612" s="11"/>
    </row>
    <row r="3613" ht="12.75">
      <c r="D3613" s="11"/>
    </row>
    <row r="3614" ht="12.75">
      <c r="D3614" s="11"/>
    </row>
    <row r="3615" ht="12.75">
      <c r="D3615" s="11"/>
    </row>
    <row r="3616" ht="12.75">
      <c r="D3616" s="11"/>
    </row>
    <row r="3617" ht="12.75">
      <c r="D3617" s="11"/>
    </row>
    <row r="3618" ht="12.75">
      <c r="D3618" s="11"/>
    </row>
    <row r="3619" ht="12.75">
      <c r="D3619" s="11"/>
    </row>
    <row r="3620" ht="12.75">
      <c r="D3620" s="11"/>
    </row>
    <row r="3621" ht="12.75">
      <c r="D3621" s="11"/>
    </row>
    <row r="3622" ht="12.75">
      <c r="D3622" s="11"/>
    </row>
    <row r="3623" ht="12.75">
      <c r="D3623" s="11"/>
    </row>
    <row r="3624" ht="12.75">
      <c r="D3624" s="11"/>
    </row>
    <row r="3625" ht="12.75">
      <c r="D3625" s="11"/>
    </row>
    <row r="3626" ht="12.75">
      <c r="D3626" s="11"/>
    </row>
    <row r="3627" ht="12.75">
      <c r="D3627" s="11"/>
    </row>
    <row r="3628" ht="12.75">
      <c r="D3628" s="11"/>
    </row>
    <row r="3629" ht="12.75">
      <c r="D3629" s="11"/>
    </row>
    <row r="3630" ht="12.75">
      <c r="D3630" s="11"/>
    </row>
    <row r="3631" ht="12.75">
      <c r="D3631" s="11"/>
    </row>
    <row r="3632" ht="12.75">
      <c r="D3632" s="11"/>
    </row>
    <row r="3633" ht="12.75">
      <c r="D3633" s="11"/>
    </row>
    <row r="3634" ht="12.75">
      <c r="D3634" s="11"/>
    </row>
    <row r="3635" ht="12.75">
      <c r="D3635" s="11"/>
    </row>
    <row r="3636" ht="12.75">
      <c r="D3636" s="11"/>
    </row>
    <row r="3637" ht="12.75">
      <c r="D3637" s="11"/>
    </row>
    <row r="3638" ht="12.75">
      <c r="D3638" s="11"/>
    </row>
    <row r="3639" ht="12.75">
      <c r="D3639" s="11"/>
    </row>
    <row r="3640" ht="12.75">
      <c r="D3640" s="11"/>
    </row>
    <row r="3641" ht="12.75">
      <c r="D3641" s="11"/>
    </row>
    <row r="3642" ht="12.75">
      <c r="D3642" s="11"/>
    </row>
    <row r="3643" ht="12.75">
      <c r="D3643" s="11"/>
    </row>
    <row r="3644" ht="12.75">
      <c r="D3644" s="11"/>
    </row>
    <row r="3645" ht="12.75">
      <c r="D3645" s="11"/>
    </row>
    <row r="3646" ht="12.75">
      <c r="D3646" s="11"/>
    </row>
    <row r="3647" ht="12.75">
      <c r="D3647" s="11"/>
    </row>
    <row r="3648" ht="12.75">
      <c r="D3648" s="11"/>
    </row>
    <row r="3649" ht="12.75">
      <c r="D3649" s="11"/>
    </row>
    <row r="3650" ht="12.75">
      <c r="D3650" s="11"/>
    </row>
    <row r="3651" ht="12.75">
      <c r="D3651" s="11"/>
    </row>
    <row r="3652" ht="12.75">
      <c r="D3652" s="11"/>
    </row>
    <row r="3653" ht="12.75">
      <c r="D3653" s="11"/>
    </row>
    <row r="3654" ht="12.75">
      <c r="D3654" s="11"/>
    </row>
    <row r="3655" ht="12.75">
      <c r="D3655" s="11"/>
    </row>
    <row r="3656" ht="12.75">
      <c r="D3656" s="11"/>
    </row>
    <row r="3657" ht="12.75">
      <c r="D3657" s="11"/>
    </row>
    <row r="3658" ht="12.75">
      <c r="D3658" s="11"/>
    </row>
    <row r="3659" ht="12.75">
      <c r="D3659" s="11"/>
    </row>
    <row r="3660" ht="12.75">
      <c r="D3660" s="11"/>
    </row>
    <row r="3661" ht="12.75">
      <c r="D3661" s="11"/>
    </row>
    <row r="3662" ht="12.75">
      <c r="D3662" s="11"/>
    </row>
    <row r="3663" ht="12.75">
      <c r="D3663" s="11"/>
    </row>
    <row r="3664" ht="12.75">
      <c r="D3664" s="11"/>
    </row>
    <row r="3665" ht="12.75">
      <c r="D3665" s="11"/>
    </row>
    <row r="3666" ht="12.75">
      <c r="D3666" s="11"/>
    </row>
    <row r="3667" ht="12.75">
      <c r="D3667" s="11"/>
    </row>
    <row r="3668" ht="12.75">
      <c r="D3668" s="11"/>
    </row>
    <row r="3669" ht="12.75">
      <c r="D3669" s="11"/>
    </row>
    <row r="3670" ht="12.75">
      <c r="D3670" s="11"/>
    </row>
    <row r="3671" ht="12.75">
      <c r="D3671" s="11"/>
    </row>
    <row r="3672" ht="12.75">
      <c r="D3672" s="11"/>
    </row>
    <row r="3673" ht="12.75">
      <c r="D3673" s="11"/>
    </row>
    <row r="3674" ht="12.75">
      <c r="D3674" s="11"/>
    </row>
    <row r="3675" ht="12.75">
      <c r="D3675" s="11"/>
    </row>
    <row r="3676" ht="12.75">
      <c r="D3676" s="11"/>
    </row>
    <row r="3677" ht="12.75">
      <c r="D3677" s="11"/>
    </row>
    <row r="3678" ht="12.75">
      <c r="D3678" s="11"/>
    </row>
    <row r="3679" ht="12.75">
      <c r="D3679" s="11"/>
    </row>
    <row r="3680" ht="12.75">
      <c r="D3680" s="11"/>
    </row>
    <row r="3681" ht="12.75">
      <c r="D3681" s="11"/>
    </row>
    <row r="3682" ht="12.75">
      <c r="D3682" s="11"/>
    </row>
    <row r="3683" ht="12.75">
      <c r="D3683" s="11"/>
    </row>
    <row r="3684" ht="12.75">
      <c r="D3684" s="11"/>
    </row>
    <row r="3685" ht="12.75">
      <c r="D3685" s="11"/>
    </row>
    <row r="3686" ht="12.75">
      <c r="D3686" s="11"/>
    </row>
    <row r="3687" ht="12.75">
      <c r="D3687" s="11"/>
    </row>
    <row r="3688" ht="12.75">
      <c r="D3688" s="11"/>
    </row>
    <row r="3689" ht="12.75">
      <c r="D3689" s="11"/>
    </row>
    <row r="3690" ht="12.75">
      <c r="D3690" s="11"/>
    </row>
    <row r="3691" ht="12.75">
      <c r="D3691" s="11"/>
    </row>
    <row r="3692" ht="12.75">
      <c r="D3692" s="11"/>
    </row>
    <row r="3693" ht="12.75">
      <c r="D3693" s="11"/>
    </row>
    <row r="3694" ht="12.75">
      <c r="D3694" s="11"/>
    </row>
    <row r="3695" ht="12.75">
      <c r="D3695" s="11"/>
    </row>
    <row r="3696" ht="12.75">
      <c r="D3696" s="11"/>
    </row>
    <row r="3697" ht="12.75">
      <c r="D3697" s="11"/>
    </row>
    <row r="3698" ht="12.75">
      <c r="D3698" s="11"/>
    </row>
    <row r="3699" ht="12.75">
      <c r="D3699" s="11"/>
    </row>
    <row r="3700" ht="12.75">
      <c r="D3700" s="11"/>
    </row>
    <row r="3701" ht="12.75">
      <c r="D3701" s="11"/>
    </row>
    <row r="3702" ht="12.75">
      <c r="D3702" s="11"/>
    </row>
    <row r="3703" ht="12.75">
      <c r="D3703" s="11"/>
    </row>
    <row r="3704" ht="12.75">
      <c r="D3704" s="11"/>
    </row>
    <row r="3705" ht="12.75">
      <c r="D3705" s="11"/>
    </row>
    <row r="3706" ht="12.75">
      <c r="D3706" s="11"/>
    </row>
    <row r="3707" ht="12.75">
      <c r="D3707" s="11"/>
    </row>
    <row r="3708" ht="12.75">
      <c r="D3708" s="11"/>
    </row>
    <row r="3709" ht="12.75">
      <c r="D3709" s="11"/>
    </row>
    <row r="3710" ht="12.75">
      <c r="D3710" s="11"/>
    </row>
    <row r="3711" ht="12.75">
      <c r="D3711" s="11"/>
    </row>
    <row r="3712" ht="12.75">
      <c r="D3712" s="11"/>
    </row>
    <row r="3713" ht="12.75">
      <c r="D3713" s="11"/>
    </row>
    <row r="3714" ht="12.75">
      <c r="D3714" s="11"/>
    </row>
    <row r="3715" ht="12.75">
      <c r="D3715" s="11"/>
    </row>
    <row r="3716" ht="12.75">
      <c r="D3716" s="11"/>
    </row>
    <row r="3717" ht="12.75">
      <c r="D3717" s="11"/>
    </row>
    <row r="3718" ht="12.75">
      <c r="D3718" s="11"/>
    </row>
    <row r="3719" ht="12.75">
      <c r="D3719" s="11"/>
    </row>
    <row r="3720" ht="12.75">
      <c r="D3720" s="11"/>
    </row>
    <row r="3721" ht="12.75">
      <c r="D3721" s="11"/>
    </row>
    <row r="3722" ht="12.75">
      <c r="D3722" s="11"/>
    </row>
    <row r="3723" ht="12.75">
      <c r="D3723" s="11"/>
    </row>
    <row r="3724" ht="12.75">
      <c r="D3724" s="11"/>
    </row>
    <row r="3725" ht="12.75">
      <c r="D3725" s="11"/>
    </row>
    <row r="3726" ht="12.75">
      <c r="D3726" s="11"/>
    </row>
    <row r="3727" ht="12.75">
      <c r="D3727" s="11"/>
    </row>
    <row r="3728" ht="12.75">
      <c r="D3728" s="11"/>
    </row>
    <row r="3729" ht="12.75">
      <c r="D3729" s="11"/>
    </row>
    <row r="3730" ht="12.75">
      <c r="D3730" s="11"/>
    </row>
    <row r="3731" ht="12.75">
      <c r="D3731" s="11"/>
    </row>
    <row r="3732" ht="12.75">
      <c r="D3732" s="11"/>
    </row>
    <row r="3733" ht="12.75">
      <c r="D3733" s="11"/>
    </row>
    <row r="3734" ht="12.75">
      <c r="D3734" s="11"/>
    </row>
    <row r="3735" ht="12.75">
      <c r="D3735" s="11"/>
    </row>
    <row r="3736" ht="12.75">
      <c r="D3736" s="11"/>
    </row>
    <row r="3737" ht="12.75">
      <c r="D3737" s="11"/>
    </row>
    <row r="3738" ht="12.75">
      <c r="D3738" s="11"/>
    </row>
    <row r="3739" ht="12.75">
      <c r="D3739" s="11"/>
    </row>
    <row r="3740" ht="12.75">
      <c r="D3740" s="11"/>
    </row>
    <row r="3741" ht="12.75">
      <c r="D3741" s="11"/>
    </row>
    <row r="3742" ht="12.75">
      <c r="D3742" s="11"/>
    </row>
    <row r="3743" ht="12.75">
      <c r="D3743" s="11"/>
    </row>
    <row r="3744" ht="12.75">
      <c r="D3744" s="11"/>
    </row>
    <row r="3745" ht="12.75">
      <c r="D3745" s="11"/>
    </row>
    <row r="3746" ht="12.75">
      <c r="D3746" s="11"/>
    </row>
    <row r="3747" ht="12.75">
      <c r="D3747" s="11"/>
    </row>
    <row r="3748" ht="12.75">
      <c r="D3748" s="11"/>
    </row>
    <row r="3749" ht="12.75">
      <c r="D3749" s="11"/>
    </row>
    <row r="3750" ht="12.75">
      <c r="D3750" s="11"/>
    </row>
    <row r="3751" ht="12.75">
      <c r="D3751" s="11"/>
    </row>
    <row r="3752" ht="12.75">
      <c r="D3752" s="11"/>
    </row>
    <row r="3753" ht="12.75">
      <c r="D3753" s="11"/>
    </row>
    <row r="3754" ht="12.75">
      <c r="D3754" s="11"/>
    </row>
    <row r="3755" ht="12.75">
      <c r="D3755" s="11"/>
    </row>
    <row r="3756" ht="12.75">
      <c r="D3756" s="11"/>
    </row>
    <row r="3757" ht="12.75">
      <c r="D3757" s="11"/>
    </row>
    <row r="3758" ht="12.75">
      <c r="D3758" s="11"/>
    </row>
    <row r="3759" ht="12.75">
      <c r="D3759" s="11"/>
    </row>
    <row r="3760" ht="12.75">
      <c r="D3760" s="11"/>
    </row>
    <row r="3761" ht="12.75">
      <c r="D3761" s="11"/>
    </row>
    <row r="3762" ht="12.75">
      <c r="D3762" s="11"/>
    </row>
    <row r="3763" ht="12.75">
      <c r="D3763" s="11"/>
    </row>
    <row r="3764" ht="12.75">
      <c r="D3764" s="11"/>
    </row>
    <row r="3765" ht="12.75">
      <c r="D3765" s="11"/>
    </row>
    <row r="3766" ht="12.75">
      <c r="D3766" s="11"/>
    </row>
    <row r="3767" ht="12.75">
      <c r="D3767" s="11"/>
    </row>
    <row r="3768" ht="12.75">
      <c r="D3768" s="11"/>
    </row>
    <row r="3769" ht="12.75">
      <c r="D3769" s="11"/>
    </row>
    <row r="3770" ht="12.75">
      <c r="D3770" s="11"/>
    </row>
    <row r="3771" ht="12.75">
      <c r="D3771" s="11"/>
    </row>
    <row r="3772" ht="12.75">
      <c r="D3772" s="11"/>
    </row>
    <row r="3773" ht="12.75">
      <c r="D3773" s="11"/>
    </row>
    <row r="3774" ht="12.75">
      <c r="D3774" s="11"/>
    </row>
    <row r="3775" ht="12.75">
      <c r="D3775" s="11"/>
    </row>
    <row r="3776" ht="12.75">
      <c r="D3776" s="11"/>
    </row>
    <row r="3777" ht="12.75">
      <c r="D3777" s="11"/>
    </row>
    <row r="3778" ht="12.75">
      <c r="D3778" s="11"/>
    </row>
    <row r="3779" ht="12.75">
      <c r="D3779" s="11"/>
    </row>
    <row r="3780" ht="12.75">
      <c r="D3780" s="11"/>
    </row>
    <row r="3781" ht="12.75">
      <c r="D3781" s="11"/>
    </row>
    <row r="3782" ht="12.75">
      <c r="D3782" s="11"/>
    </row>
    <row r="3783" ht="12.75">
      <c r="D3783" s="11"/>
    </row>
    <row r="3784" ht="12.75">
      <c r="D3784" s="11"/>
    </row>
    <row r="3785" ht="12.75">
      <c r="D3785" s="11"/>
    </row>
    <row r="3786" ht="12.75">
      <c r="D3786" s="11"/>
    </row>
    <row r="3787" ht="12.75">
      <c r="D3787" s="11"/>
    </row>
    <row r="3788" ht="12.75">
      <c r="D3788" s="11"/>
    </row>
    <row r="3789" ht="12.75">
      <c r="D3789" s="11"/>
    </row>
    <row r="3790" ht="12.75">
      <c r="D3790" s="11"/>
    </row>
    <row r="3791" ht="12.75">
      <c r="D3791" s="11"/>
    </row>
    <row r="3792" ht="12.75">
      <c r="D3792" s="11"/>
    </row>
    <row r="3793" ht="12.75">
      <c r="D3793" s="11"/>
    </row>
    <row r="3794" ht="12.75">
      <c r="D3794" s="11"/>
    </row>
    <row r="3795" ht="12.75">
      <c r="D3795" s="11"/>
    </row>
    <row r="3796" ht="12.75">
      <c r="D3796" s="11"/>
    </row>
    <row r="3797" ht="12.75">
      <c r="D3797" s="11"/>
    </row>
    <row r="3798" ht="12.75">
      <c r="D3798" s="11"/>
    </row>
    <row r="3799" ht="12.75">
      <c r="D3799" s="11"/>
    </row>
    <row r="3800" ht="12.75">
      <c r="D3800" s="11"/>
    </row>
    <row r="3801" ht="12.75">
      <c r="D3801" s="11"/>
    </row>
    <row r="3802" ht="12.75">
      <c r="D3802" s="11"/>
    </row>
    <row r="3803" ht="12.75">
      <c r="D3803" s="11"/>
    </row>
    <row r="3804" ht="12.75">
      <c r="D3804" s="11"/>
    </row>
    <row r="3805" ht="12.75">
      <c r="D3805" s="11"/>
    </row>
    <row r="3806" ht="12.75">
      <c r="D3806" s="11"/>
    </row>
    <row r="3807" ht="12.75">
      <c r="D3807" s="11"/>
    </row>
    <row r="3808" ht="12.75">
      <c r="D3808" s="11"/>
    </row>
    <row r="3809" ht="12.75">
      <c r="D3809" s="11"/>
    </row>
    <row r="3810" ht="12.75">
      <c r="D3810" s="11"/>
    </row>
    <row r="3811" ht="12.75">
      <c r="D3811" s="11"/>
    </row>
    <row r="3812" ht="12.75">
      <c r="D3812" s="11"/>
    </row>
    <row r="3813" ht="12.75">
      <c r="D3813" s="11"/>
    </row>
    <row r="3814" ht="12.75">
      <c r="D3814" s="11"/>
    </row>
    <row r="3815" ht="12.75">
      <c r="D3815" s="11"/>
    </row>
    <row r="3816" ht="12.75">
      <c r="D3816" s="11"/>
    </row>
    <row r="3817" ht="12.75">
      <c r="D3817" s="11"/>
    </row>
    <row r="3818" ht="12.75">
      <c r="D3818" s="11"/>
    </row>
    <row r="3819" ht="12.75">
      <c r="D3819" s="11"/>
    </row>
    <row r="3820" ht="12.75">
      <c r="D3820" s="11"/>
    </row>
    <row r="3821" ht="12.75">
      <c r="D3821" s="11"/>
    </row>
    <row r="3822" ht="12.75">
      <c r="D3822" s="11"/>
    </row>
    <row r="3823" ht="12.75">
      <c r="D3823" s="11"/>
    </row>
    <row r="3824" ht="12.75">
      <c r="D3824" s="11"/>
    </row>
    <row r="3825" ht="12.75">
      <c r="D3825" s="11"/>
    </row>
    <row r="3826" ht="12.75">
      <c r="D3826" s="11"/>
    </row>
    <row r="3827" ht="12.75">
      <c r="D3827" s="11"/>
    </row>
    <row r="3828" ht="12.75">
      <c r="D3828" s="11"/>
    </row>
    <row r="3829" ht="12.75">
      <c r="D3829" s="11"/>
    </row>
    <row r="3830" ht="12.75">
      <c r="D3830" s="11"/>
    </row>
    <row r="3831" ht="12.75">
      <c r="D3831" s="11"/>
    </row>
    <row r="3832" ht="12.75">
      <c r="D3832" s="11"/>
    </row>
    <row r="3833" ht="12.75">
      <c r="D3833" s="11"/>
    </row>
    <row r="3834" ht="12.75">
      <c r="D3834" s="11"/>
    </row>
    <row r="3835" ht="12.75">
      <c r="D3835" s="11"/>
    </row>
    <row r="3836" ht="12.75">
      <c r="D3836" s="11"/>
    </row>
    <row r="3837" ht="12.75">
      <c r="D3837" s="11"/>
    </row>
    <row r="3838" ht="12.75">
      <c r="D3838" s="11"/>
    </row>
    <row r="3839" ht="12.75">
      <c r="D3839" s="11"/>
    </row>
    <row r="3840" ht="12.75">
      <c r="D3840" s="11"/>
    </row>
    <row r="3841" ht="12.75">
      <c r="D3841" s="11"/>
    </row>
    <row r="3842" ht="12.75">
      <c r="D3842" s="11"/>
    </row>
    <row r="3843" ht="12.75">
      <c r="D3843" s="11"/>
    </row>
    <row r="3844" ht="12.75">
      <c r="D3844" s="11"/>
    </row>
    <row r="3845" ht="12.75">
      <c r="D3845" s="11"/>
    </row>
    <row r="3846" ht="12.75">
      <c r="D3846" s="11"/>
    </row>
    <row r="3847" ht="12.75">
      <c r="D3847" s="11"/>
    </row>
    <row r="3848" ht="12.75">
      <c r="D3848" s="11"/>
    </row>
    <row r="3849" ht="12.75">
      <c r="D3849" s="11"/>
    </row>
    <row r="3850" ht="12.75">
      <c r="D3850" s="11"/>
    </row>
    <row r="3851" ht="12.75">
      <c r="D3851" s="11"/>
    </row>
    <row r="3852" ht="12.75">
      <c r="D3852" s="11"/>
    </row>
    <row r="3853" ht="12.75">
      <c r="D3853" s="11"/>
    </row>
    <row r="3854" ht="12.75">
      <c r="D3854" s="11"/>
    </row>
    <row r="3855" ht="12.75">
      <c r="D3855" s="11"/>
    </row>
    <row r="3856" ht="12.75">
      <c r="D3856" s="11"/>
    </row>
    <row r="3857" ht="12.75">
      <c r="D3857" s="11"/>
    </row>
    <row r="3858" ht="12.75">
      <c r="D3858" s="11"/>
    </row>
    <row r="3859" ht="12.75">
      <c r="D3859" s="11"/>
    </row>
    <row r="3860" ht="12.75">
      <c r="D3860" s="11"/>
    </row>
    <row r="3861" ht="12.75">
      <c r="D3861" s="11"/>
    </row>
    <row r="3862" ht="12.75">
      <c r="D3862" s="11"/>
    </row>
    <row r="3863" ht="12.75">
      <c r="D3863" s="11"/>
    </row>
    <row r="3864" ht="12.75">
      <c r="D3864" s="11"/>
    </row>
    <row r="3865" ht="12.75">
      <c r="D3865" s="11"/>
    </row>
    <row r="3866" ht="12.75">
      <c r="D3866" s="11"/>
    </row>
    <row r="3867" ht="12.75">
      <c r="D3867" s="11"/>
    </row>
    <row r="3868" ht="12.75">
      <c r="D3868" s="11"/>
    </row>
    <row r="3869" ht="12.75">
      <c r="D3869" s="11"/>
    </row>
    <row r="3870" ht="12.75">
      <c r="D3870" s="11"/>
    </row>
    <row r="3871" ht="12.75">
      <c r="D3871" s="11"/>
    </row>
    <row r="3872" ht="12.75">
      <c r="D3872" s="11"/>
    </row>
    <row r="3873" ht="12.75">
      <c r="D3873" s="11"/>
    </row>
    <row r="3874" ht="12.75">
      <c r="D3874" s="11"/>
    </row>
    <row r="3875" ht="12.75">
      <c r="D3875" s="11"/>
    </row>
    <row r="3876" ht="12.75">
      <c r="D3876" s="11"/>
    </row>
    <row r="3877" ht="12.75">
      <c r="D3877" s="11"/>
    </row>
    <row r="3878" ht="12.75">
      <c r="D3878" s="11"/>
    </row>
    <row r="3879" ht="12.75">
      <c r="D3879" s="11"/>
    </row>
    <row r="3880" ht="12.75">
      <c r="D3880" s="11"/>
    </row>
    <row r="3881" ht="12.75">
      <c r="D3881" s="11"/>
    </row>
    <row r="3882" ht="12.75">
      <c r="D3882" s="11"/>
    </row>
    <row r="3883" ht="12.75">
      <c r="D3883" s="11"/>
    </row>
    <row r="3884" ht="12.75">
      <c r="D3884" s="11"/>
    </row>
    <row r="3885" ht="12.75">
      <c r="D3885" s="11"/>
    </row>
    <row r="3886" ht="12.75">
      <c r="D3886" s="11"/>
    </row>
    <row r="3887" ht="12.75">
      <c r="D3887" s="11"/>
    </row>
    <row r="3888" ht="12.75">
      <c r="D3888" s="11"/>
    </row>
    <row r="3889" ht="12.75">
      <c r="D3889" s="11"/>
    </row>
    <row r="3890" ht="12.75">
      <c r="D3890" s="11"/>
    </row>
    <row r="3891" ht="12.75">
      <c r="D3891" s="11"/>
    </row>
    <row r="3892" ht="12.75">
      <c r="D3892" s="11"/>
    </row>
    <row r="3893" ht="12.75">
      <c r="D3893" s="11"/>
    </row>
    <row r="3894" ht="12.75">
      <c r="D3894" s="11"/>
    </row>
    <row r="3895" ht="12.75">
      <c r="D3895" s="11"/>
    </row>
    <row r="3896" ht="12.75">
      <c r="D3896" s="11"/>
    </row>
    <row r="3897" ht="12.75">
      <c r="D3897" s="11"/>
    </row>
    <row r="3898" ht="12.75">
      <c r="D3898" s="11"/>
    </row>
    <row r="3899" ht="12.75">
      <c r="D3899" s="11"/>
    </row>
    <row r="3900" ht="12.75">
      <c r="D3900" s="11"/>
    </row>
    <row r="3901" ht="12.75">
      <c r="D3901" s="11"/>
    </row>
    <row r="3902" ht="12.75">
      <c r="D3902" s="11"/>
    </row>
    <row r="3903" ht="12.75">
      <c r="D3903" s="11"/>
    </row>
    <row r="3904" ht="12.75">
      <c r="D3904" s="11"/>
    </row>
    <row r="3905" ht="12.75">
      <c r="D3905" s="11"/>
    </row>
    <row r="3906" ht="12.75">
      <c r="D3906" s="11"/>
    </row>
    <row r="3907" ht="12.75">
      <c r="D3907" s="11"/>
    </row>
    <row r="3908" ht="12.75">
      <c r="D3908" s="11"/>
    </row>
    <row r="3909" ht="12.75">
      <c r="D3909" s="11"/>
    </row>
    <row r="3910" ht="12.75">
      <c r="D3910" s="11"/>
    </row>
    <row r="3911" ht="12.75">
      <c r="D3911" s="11"/>
    </row>
    <row r="3912" ht="12.75">
      <c r="D3912" s="11"/>
    </row>
    <row r="3913" ht="12.75">
      <c r="D3913" s="11"/>
    </row>
    <row r="3914" ht="12.75">
      <c r="D3914" s="11"/>
    </row>
    <row r="3915" ht="12.75">
      <c r="D3915" s="11"/>
    </row>
    <row r="3916" ht="12.75">
      <c r="D3916" s="11"/>
    </row>
    <row r="3917" ht="12.75">
      <c r="D3917" s="11"/>
    </row>
    <row r="3918" ht="12.75">
      <c r="D3918" s="11"/>
    </row>
    <row r="3919" ht="12.75">
      <c r="D3919" s="11"/>
    </row>
    <row r="3920" ht="12.75">
      <c r="D3920" s="11"/>
    </row>
    <row r="3921" ht="12.75">
      <c r="D3921" s="11"/>
    </row>
    <row r="3922" ht="12.75">
      <c r="D3922" s="11"/>
    </row>
    <row r="3923" ht="12.75">
      <c r="D3923" s="11"/>
    </row>
    <row r="3924" ht="12.75">
      <c r="D3924" s="11"/>
    </row>
    <row r="3925" ht="12.75">
      <c r="D3925" s="11"/>
    </row>
    <row r="3926" ht="12.75">
      <c r="D3926" s="11"/>
    </row>
    <row r="3927" ht="12.75">
      <c r="D3927" s="11"/>
    </row>
    <row r="3928" ht="12.75">
      <c r="D3928" s="11"/>
    </row>
    <row r="3929" ht="12.75">
      <c r="D3929" s="11"/>
    </row>
    <row r="3930" ht="12.75">
      <c r="D3930" s="11"/>
    </row>
    <row r="3931" ht="12.75">
      <c r="D3931" s="11"/>
    </row>
    <row r="3932" ht="12.75">
      <c r="D3932" s="11"/>
    </row>
    <row r="3933" ht="12.75">
      <c r="D3933" s="11"/>
    </row>
    <row r="3934" ht="12.75">
      <c r="D3934" s="11"/>
    </row>
    <row r="3935" ht="12.75">
      <c r="D3935" s="11"/>
    </row>
    <row r="3936" ht="12.75">
      <c r="D3936" s="11"/>
    </row>
    <row r="3937" ht="12.75">
      <c r="D3937" s="11"/>
    </row>
    <row r="3938" ht="12.75">
      <c r="D3938" s="11"/>
    </row>
    <row r="3939" ht="12.75">
      <c r="D3939" s="11"/>
    </row>
    <row r="3940" ht="12.75">
      <c r="D3940" s="11"/>
    </row>
    <row r="3941" ht="12.75">
      <c r="D3941" s="11"/>
    </row>
    <row r="3942" ht="12.75">
      <c r="D3942" s="11"/>
    </row>
    <row r="3943" ht="12.75">
      <c r="D3943" s="11"/>
    </row>
    <row r="3944" ht="12.75">
      <c r="D3944" s="11"/>
    </row>
    <row r="3945" ht="12.75">
      <c r="D3945" s="11"/>
    </row>
    <row r="3946" ht="12.75">
      <c r="D3946" s="11"/>
    </row>
    <row r="3947" ht="12.75">
      <c r="D3947" s="11"/>
    </row>
    <row r="3948" ht="12.75">
      <c r="D3948" s="11"/>
    </row>
    <row r="3949" ht="12.75">
      <c r="D3949" s="11"/>
    </row>
    <row r="3950" ht="12.75">
      <c r="D3950" s="11"/>
    </row>
    <row r="3951" ht="12.75">
      <c r="D3951" s="11"/>
    </row>
    <row r="3952" ht="12.75">
      <c r="D3952" s="11"/>
    </row>
    <row r="3953" ht="12.75">
      <c r="D3953" s="11"/>
    </row>
    <row r="3954" ht="12.75">
      <c r="D3954" s="11"/>
    </row>
    <row r="3955" ht="12.75">
      <c r="D3955" s="11"/>
    </row>
    <row r="3956" ht="12.75">
      <c r="D3956" s="11"/>
    </row>
    <row r="3957" ht="12.75">
      <c r="D3957" s="11"/>
    </row>
    <row r="3958" ht="12.75">
      <c r="D3958" s="11"/>
    </row>
    <row r="3959" ht="12.75">
      <c r="D3959" s="11"/>
    </row>
    <row r="3960" ht="12.75">
      <c r="D3960" s="11"/>
    </row>
    <row r="3961" ht="12.75">
      <c r="D3961" s="11"/>
    </row>
    <row r="3962" ht="12.75">
      <c r="D3962" s="11"/>
    </row>
    <row r="3963" ht="12.75">
      <c r="D3963" s="11"/>
    </row>
    <row r="3964" ht="12.75">
      <c r="D3964" s="11"/>
    </row>
    <row r="3965" ht="12.75">
      <c r="D3965" s="11"/>
    </row>
    <row r="3966" ht="12.75">
      <c r="D3966" s="11"/>
    </row>
    <row r="3967" ht="12.75">
      <c r="D3967" s="11"/>
    </row>
    <row r="3968" ht="12.75">
      <c r="D3968" s="11"/>
    </row>
    <row r="3969" ht="12.75">
      <c r="D3969" s="11"/>
    </row>
    <row r="3970" ht="12.75">
      <c r="D3970" s="11"/>
    </row>
    <row r="3971" ht="12.75">
      <c r="D3971" s="11"/>
    </row>
    <row r="3972" ht="12.75">
      <c r="D3972" s="11"/>
    </row>
    <row r="3973" ht="12.75">
      <c r="D3973" s="11"/>
    </row>
    <row r="3974" ht="12.75">
      <c r="D3974" s="11"/>
    </row>
    <row r="3975" ht="12.75">
      <c r="D3975" s="11"/>
    </row>
    <row r="3976" ht="12.75">
      <c r="D3976" s="11"/>
    </row>
    <row r="3977" ht="12.75">
      <c r="D3977" s="11"/>
    </row>
    <row r="3978" ht="12.75">
      <c r="D3978" s="11"/>
    </row>
    <row r="3979" ht="12.75">
      <c r="D3979" s="11"/>
    </row>
    <row r="3980" ht="12.75">
      <c r="D3980" s="11"/>
    </row>
    <row r="3981" ht="12.75">
      <c r="D3981" s="11"/>
    </row>
    <row r="3982" ht="12.75">
      <c r="D3982" s="11"/>
    </row>
    <row r="3983" ht="12.75">
      <c r="D3983" s="11"/>
    </row>
    <row r="3984" ht="12.75">
      <c r="D3984" s="11"/>
    </row>
    <row r="3985" ht="12.75">
      <c r="D3985" s="11"/>
    </row>
    <row r="3986" ht="12.75">
      <c r="D3986" s="11"/>
    </row>
    <row r="3987" ht="12.75">
      <c r="D3987" s="11"/>
    </row>
    <row r="3988" ht="12.75">
      <c r="D3988" s="11"/>
    </row>
    <row r="3989" ht="12.75">
      <c r="D3989" s="11"/>
    </row>
    <row r="3990" ht="12.75">
      <c r="D3990" s="11"/>
    </row>
    <row r="3991" ht="12.75">
      <c r="D3991" s="11"/>
    </row>
    <row r="3992" ht="12.75">
      <c r="D3992" s="11"/>
    </row>
    <row r="3993" ht="12.75">
      <c r="D3993" s="11"/>
    </row>
    <row r="3994" ht="12.75">
      <c r="D3994" s="11"/>
    </row>
    <row r="3995" ht="12.75">
      <c r="D3995" s="11"/>
    </row>
    <row r="3996" ht="12.75">
      <c r="D3996" s="11"/>
    </row>
    <row r="3997" ht="12.75">
      <c r="D3997" s="11"/>
    </row>
    <row r="3998" ht="12.75">
      <c r="D3998" s="11"/>
    </row>
    <row r="3999" ht="12.75">
      <c r="D3999" s="11"/>
    </row>
    <row r="4000" ht="12.75">
      <c r="D4000" s="11"/>
    </row>
    <row r="4001" ht="12.75">
      <c r="D4001" s="11"/>
    </row>
    <row r="4002" ht="12.75">
      <c r="D4002" s="11"/>
    </row>
    <row r="4003" ht="12.75">
      <c r="D4003" s="11"/>
    </row>
    <row r="4004" ht="12.75">
      <c r="D4004" s="11"/>
    </row>
    <row r="4005" ht="12.75">
      <c r="D4005" s="11"/>
    </row>
    <row r="4006" ht="12.75">
      <c r="D4006" s="11"/>
    </row>
    <row r="4007" ht="12.75">
      <c r="D4007" s="11"/>
    </row>
    <row r="4008" ht="12.75">
      <c r="D4008" s="11"/>
    </row>
    <row r="4009" ht="12.75">
      <c r="D4009" s="11"/>
    </row>
    <row r="4010" ht="12.75">
      <c r="D4010" s="11"/>
    </row>
    <row r="4011" ht="12.75">
      <c r="D4011" s="11"/>
    </row>
    <row r="4012" ht="12.75">
      <c r="D4012" s="11"/>
    </row>
    <row r="4013" ht="12.75">
      <c r="D4013" s="11"/>
    </row>
    <row r="4014" ht="12.75">
      <c r="D4014" s="11"/>
    </row>
    <row r="4015" ht="12.75">
      <c r="D4015" s="11"/>
    </row>
    <row r="4016" ht="12.75">
      <c r="D4016" s="11"/>
    </row>
    <row r="4017" ht="12.75">
      <c r="D4017" s="11"/>
    </row>
    <row r="4018" ht="12.75">
      <c r="D4018" s="11"/>
    </row>
    <row r="4019" ht="12.75">
      <c r="D4019" s="11"/>
    </row>
    <row r="4020" ht="12.75">
      <c r="D4020" s="11"/>
    </row>
    <row r="4021" ht="12.75">
      <c r="D4021" s="11"/>
    </row>
    <row r="4022" ht="12.75">
      <c r="D4022" s="11"/>
    </row>
    <row r="4023" ht="12.75">
      <c r="D4023" s="11"/>
    </row>
    <row r="4024" ht="12.75">
      <c r="D4024" s="11"/>
    </row>
    <row r="4025" ht="12.75">
      <c r="D4025" s="11"/>
    </row>
    <row r="4026" ht="12.75">
      <c r="D4026" s="11"/>
    </row>
    <row r="4027" ht="12.75">
      <c r="D4027" s="11"/>
    </row>
    <row r="4028" ht="12.75">
      <c r="D4028" s="11"/>
    </row>
    <row r="4029" ht="12.75">
      <c r="D4029" s="11"/>
    </row>
    <row r="4030" ht="12.75">
      <c r="D4030" s="11"/>
    </row>
    <row r="4031" ht="12.75">
      <c r="D4031" s="11"/>
    </row>
    <row r="4032" ht="12.75">
      <c r="D4032" s="11"/>
    </row>
    <row r="4033" ht="12.75">
      <c r="D4033" s="11"/>
    </row>
    <row r="4034" ht="12.75">
      <c r="D4034" s="11"/>
    </row>
    <row r="4035" ht="12.75">
      <c r="D4035" s="11"/>
    </row>
    <row r="4036" ht="12.75">
      <c r="D4036" s="11"/>
    </row>
    <row r="4037" ht="12.75">
      <c r="D4037" s="11"/>
    </row>
    <row r="4038" ht="12.75">
      <c r="D4038" s="11"/>
    </row>
    <row r="4039" ht="12.75">
      <c r="D4039" s="11"/>
    </row>
    <row r="4040" ht="12.75">
      <c r="D4040" s="11"/>
    </row>
    <row r="4041" ht="12.75">
      <c r="D4041" s="11"/>
    </row>
    <row r="4042" ht="12.75">
      <c r="D4042" s="11"/>
    </row>
    <row r="4043" ht="12.75">
      <c r="D4043" s="11"/>
    </row>
    <row r="4044" ht="12.75">
      <c r="D4044" s="11"/>
    </row>
    <row r="4045" ht="12.75">
      <c r="D4045" s="11"/>
    </row>
    <row r="4046" ht="12.75">
      <c r="D4046" s="11"/>
    </row>
    <row r="4047" ht="12.75">
      <c r="D4047" s="11"/>
    </row>
    <row r="4048" ht="12.75">
      <c r="D4048" s="11"/>
    </row>
    <row r="4049" ht="12.75">
      <c r="D4049" s="11"/>
    </row>
    <row r="4050" ht="12.75">
      <c r="D4050" s="11"/>
    </row>
    <row r="4051" ht="12.75">
      <c r="D4051" s="11"/>
    </row>
    <row r="4052" ht="12.75">
      <c r="D4052" s="11"/>
    </row>
    <row r="4053" ht="12.75">
      <c r="D4053" s="11"/>
    </row>
    <row r="4054" ht="12.75">
      <c r="D4054" s="11"/>
    </row>
    <row r="4055" ht="12.75">
      <c r="D4055" s="11"/>
    </row>
    <row r="4056" ht="12.75">
      <c r="D4056" s="11"/>
    </row>
    <row r="4057" ht="12.75">
      <c r="D4057" s="11"/>
    </row>
    <row r="4058" ht="12.75">
      <c r="D4058" s="11"/>
    </row>
    <row r="4059" ht="12.75">
      <c r="D4059" s="11"/>
    </row>
    <row r="4060" ht="12.75">
      <c r="D4060" s="11"/>
    </row>
    <row r="4061" ht="12.75">
      <c r="D4061" s="11"/>
    </row>
    <row r="4062" ht="12.75">
      <c r="D4062" s="11"/>
    </row>
    <row r="4063" ht="12.75">
      <c r="D4063" s="11"/>
    </row>
    <row r="4064" ht="12.75">
      <c r="D4064" s="11"/>
    </row>
    <row r="4065" ht="12.75">
      <c r="D4065" s="11"/>
    </row>
    <row r="4066" ht="12.75">
      <c r="D4066" s="11"/>
    </row>
    <row r="4067" ht="12.75">
      <c r="D4067" s="11"/>
    </row>
    <row r="4068" ht="12.75">
      <c r="D4068" s="11"/>
    </row>
    <row r="4069" ht="12.75">
      <c r="D4069" s="11"/>
    </row>
    <row r="4070" ht="12.75">
      <c r="D4070" s="11"/>
    </row>
    <row r="4071" ht="12.75">
      <c r="D4071" s="11"/>
    </row>
    <row r="4072" ht="12.75">
      <c r="D4072" s="11"/>
    </row>
    <row r="4073" ht="12.75">
      <c r="D4073" s="11"/>
    </row>
    <row r="4074" ht="12.75">
      <c r="D4074" s="11"/>
    </row>
    <row r="4075" ht="12.75">
      <c r="D4075" s="11"/>
    </row>
    <row r="4076" ht="12.75">
      <c r="D4076" s="11"/>
    </row>
    <row r="4077" ht="12.75">
      <c r="D4077" s="11"/>
    </row>
    <row r="4078" ht="12.75">
      <c r="D4078" s="11"/>
    </row>
    <row r="4079" ht="12.75">
      <c r="D4079" s="11"/>
    </row>
    <row r="4080" ht="12.75">
      <c r="D4080" s="11"/>
    </row>
    <row r="4081" ht="12.75">
      <c r="D4081" s="11"/>
    </row>
    <row r="4082" ht="12.75">
      <c r="D4082" s="11"/>
    </row>
    <row r="4083" ht="12.75">
      <c r="D4083" s="11"/>
    </row>
    <row r="4084" ht="12.75">
      <c r="D4084" s="11"/>
    </row>
    <row r="4085" ht="12.75">
      <c r="D4085" s="11"/>
    </row>
    <row r="4086" ht="12.75">
      <c r="D4086" s="11"/>
    </row>
    <row r="4087" ht="12.75">
      <c r="D4087" s="11"/>
    </row>
    <row r="4088" ht="12.75">
      <c r="D4088" s="11"/>
    </row>
    <row r="4089" ht="12.75">
      <c r="D4089" s="11"/>
    </row>
    <row r="4090" ht="12.75">
      <c r="D4090" s="11"/>
    </row>
    <row r="4091" ht="12.75">
      <c r="D4091" s="11"/>
    </row>
    <row r="4092" ht="12.75">
      <c r="D4092" s="11"/>
    </row>
    <row r="4093" ht="12.75">
      <c r="D4093" s="11"/>
    </row>
    <row r="4094" ht="12.75">
      <c r="D4094" s="11"/>
    </row>
    <row r="4095" ht="12.75">
      <c r="D4095" s="11"/>
    </row>
    <row r="4096" ht="12.75">
      <c r="D4096" s="11"/>
    </row>
    <row r="4097" ht="12.75">
      <c r="D4097" s="11"/>
    </row>
    <row r="4098" ht="12.75">
      <c r="D4098" s="11"/>
    </row>
    <row r="4099" ht="12.75">
      <c r="D4099" s="11"/>
    </row>
    <row r="4100" ht="12.75">
      <c r="D4100" s="11"/>
    </row>
    <row r="4101" ht="12.75">
      <c r="D4101" s="11"/>
    </row>
    <row r="4102" ht="12.75">
      <c r="D4102" s="11"/>
    </row>
    <row r="4103" ht="12.75">
      <c r="D4103" s="11"/>
    </row>
    <row r="4104" ht="12.75">
      <c r="D4104" s="11"/>
    </row>
    <row r="4105" ht="12.75">
      <c r="D4105" s="11"/>
    </row>
    <row r="4106" ht="12.75">
      <c r="D4106" s="11"/>
    </row>
    <row r="4107" ht="12.75">
      <c r="D4107" s="11"/>
    </row>
    <row r="4108" ht="12.75">
      <c r="D4108" s="11"/>
    </row>
    <row r="4109" ht="12.75">
      <c r="D4109" s="11"/>
    </row>
    <row r="4110" ht="12.75">
      <c r="D4110" s="11"/>
    </row>
    <row r="4111" ht="12.75">
      <c r="D4111" s="11"/>
    </row>
    <row r="4112" ht="12.75">
      <c r="D4112" s="11"/>
    </row>
    <row r="4113" ht="12.75">
      <c r="D4113" s="11"/>
    </row>
    <row r="4114" ht="12.75">
      <c r="D4114" s="11"/>
    </row>
    <row r="4115" ht="12.75">
      <c r="D4115" s="11"/>
    </row>
    <row r="4116" ht="12.75">
      <c r="D4116" s="11"/>
    </row>
    <row r="4117" ht="12.75">
      <c r="D4117" s="11"/>
    </row>
    <row r="4118" ht="12.75">
      <c r="D4118" s="11"/>
    </row>
    <row r="4119" ht="12.75">
      <c r="D4119" s="11"/>
    </row>
    <row r="4120" ht="12.75">
      <c r="D4120" s="11"/>
    </row>
    <row r="4121" ht="12.75">
      <c r="D4121" s="11"/>
    </row>
    <row r="4122" ht="12.75">
      <c r="D4122" s="11"/>
    </row>
    <row r="4123" ht="12.75">
      <c r="D4123" s="11"/>
    </row>
    <row r="4124" ht="12.75">
      <c r="D4124" s="11"/>
    </row>
    <row r="4125" ht="12.75">
      <c r="D4125" s="11"/>
    </row>
    <row r="4126" ht="12.75">
      <c r="D4126" s="11"/>
    </row>
    <row r="4127" ht="12.75">
      <c r="D4127" s="11"/>
    </row>
    <row r="4128" ht="12.75">
      <c r="D4128" s="11"/>
    </row>
    <row r="4129" ht="12.75">
      <c r="D4129" s="11"/>
    </row>
    <row r="4130" ht="12.75">
      <c r="D4130" s="11"/>
    </row>
    <row r="4131" ht="12.75">
      <c r="D4131" s="11"/>
    </row>
    <row r="4132" ht="12.75">
      <c r="D4132" s="11"/>
    </row>
    <row r="4133" ht="12.75">
      <c r="D4133" s="11"/>
    </row>
    <row r="4134" ht="12.75">
      <c r="D4134" s="11"/>
    </row>
    <row r="4135" ht="12.75">
      <c r="D4135" s="11"/>
    </row>
    <row r="4136" ht="12.75">
      <c r="D4136" s="11"/>
    </row>
    <row r="4137" ht="12.75">
      <c r="D4137" s="11"/>
    </row>
    <row r="4138" ht="12.75">
      <c r="D4138" s="11"/>
    </row>
    <row r="4139" ht="12.75">
      <c r="D4139" s="11"/>
    </row>
    <row r="4140" ht="12.75">
      <c r="D4140" s="11"/>
    </row>
    <row r="4141" ht="12.75">
      <c r="D4141" s="11"/>
    </row>
    <row r="4142" ht="12.75">
      <c r="D4142" s="11"/>
    </row>
    <row r="4143" ht="12.75">
      <c r="D4143" s="11"/>
    </row>
    <row r="4144" ht="12.75">
      <c r="D4144" s="11"/>
    </row>
    <row r="4145" ht="12.75">
      <c r="D4145" s="11"/>
    </row>
    <row r="4146" ht="12.75">
      <c r="D4146" s="11"/>
    </row>
    <row r="4147" ht="12.75">
      <c r="D4147" s="11"/>
    </row>
    <row r="4148" ht="12.75">
      <c r="D4148" s="11"/>
    </row>
    <row r="4149" ht="12.75">
      <c r="D4149" s="11"/>
    </row>
    <row r="4150" ht="12.75">
      <c r="D4150" s="11"/>
    </row>
    <row r="4151" ht="12.75">
      <c r="D4151" s="11"/>
    </row>
    <row r="4152" ht="12.75">
      <c r="D4152" s="11"/>
    </row>
    <row r="4153" ht="12.75">
      <c r="D4153" s="11"/>
    </row>
    <row r="4154" ht="12.75">
      <c r="D4154" s="11"/>
    </row>
    <row r="4155" ht="12.75">
      <c r="D4155" s="11"/>
    </row>
    <row r="4156" ht="12.75">
      <c r="D4156" s="11"/>
    </row>
    <row r="4157" ht="12.75">
      <c r="D4157" s="11"/>
    </row>
    <row r="4158" ht="12.75">
      <c r="D4158" s="11"/>
    </row>
    <row r="4159" ht="12.75">
      <c r="D4159" s="11"/>
    </row>
    <row r="4160" ht="12.75">
      <c r="D4160" s="11"/>
    </row>
    <row r="4161" ht="12.75">
      <c r="D4161" s="11"/>
    </row>
    <row r="4162" ht="12.75">
      <c r="D4162" s="11"/>
    </row>
    <row r="4163" ht="12.75">
      <c r="D4163" s="11"/>
    </row>
    <row r="4164" ht="12.75">
      <c r="D4164" s="11"/>
    </row>
    <row r="4165" ht="12.75">
      <c r="D4165" s="11"/>
    </row>
    <row r="4166" ht="12.75">
      <c r="D4166" s="11"/>
    </row>
    <row r="4167" ht="12.75">
      <c r="D4167" s="11"/>
    </row>
    <row r="4168" ht="12.75">
      <c r="D4168" s="11"/>
    </row>
    <row r="4169" ht="12.75">
      <c r="D4169" s="11"/>
    </row>
    <row r="4170" ht="12.75">
      <c r="D4170" s="11"/>
    </row>
    <row r="4171" ht="12.75">
      <c r="D4171" s="11"/>
    </row>
    <row r="4172" ht="12.75">
      <c r="D4172" s="11"/>
    </row>
    <row r="4173" ht="12.75">
      <c r="D4173" s="11"/>
    </row>
    <row r="4174" ht="12.75">
      <c r="D4174" s="11"/>
    </row>
    <row r="4175" ht="12.75">
      <c r="D4175" s="11"/>
    </row>
    <row r="4176" ht="12.75">
      <c r="D4176" s="11"/>
    </row>
    <row r="4177" ht="12.75">
      <c r="D4177" s="11"/>
    </row>
    <row r="4178" ht="12.75">
      <c r="D4178" s="11"/>
    </row>
    <row r="4179" ht="12.75">
      <c r="D4179" s="11"/>
    </row>
    <row r="4180" ht="12.75">
      <c r="D4180" s="11"/>
    </row>
    <row r="4181" ht="12.75">
      <c r="D4181" s="11"/>
    </row>
    <row r="4182" ht="12.75">
      <c r="D4182" s="11"/>
    </row>
    <row r="4183" ht="12.75">
      <c r="D4183" s="11"/>
    </row>
    <row r="4184" ht="12.75">
      <c r="D4184" s="11"/>
    </row>
    <row r="4185" ht="12.75">
      <c r="D4185" s="11"/>
    </row>
    <row r="4186" ht="12.75">
      <c r="D4186" s="11"/>
    </row>
    <row r="4187" ht="12.75">
      <c r="D4187" s="11"/>
    </row>
    <row r="4188" ht="12.75">
      <c r="D4188" s="11"/>
    </row>
    <row r="4189" ht="12.75">
      <c r="D4189" s="11"/>
    </row>
    <row r="4190" ht="12.75">
      <c r="D4190" s="11"/>
    </row>
    <row r="4191" ht="12.75">
      <c r="D4191" s="11"/>
    </row>
    <row r="4192" ht="12.75">
      <c r="D4192" s="11"/>
    </row>
    <row r="4193" ht="12.75">
      <c r="D4193" s="11"/>
    </row>
    <row r="4194" ht="12.75">
      <c r="D4194" s="11"/>
    </row>
    <row r="4195" ht="12.75">
      <c r="D4195" s="11"/>
    </row>
    <row r="4196" ht="12.75">
      <c r="D4196" s="11"/>
    </row>
    <row r="4197" ht="12.75">
      <c r="D4197" s="11"/>
    </row>
    <row r="4198" ht="12.75">
      <c r="D4198" s="11"/>
    </row>
    <row r="4199" ht="12.75">
      <c r="D4199" s="11"/>
    </row>
    <row r="4200" ht="12.75">
      <c r="D4200" s="11"/>
    </row>
    <row r="4201" ht="12.75">
      <c r="D4201" s="11"/>
    </row>
    <row r="4202" ht="12.75">
      <c r="D4202" s="11"/>
    </row>
    <row r="4203" ht="12.75">
      <c r="D4203" s="11"/>
    </row>
    <row r="4204" ht="12.75">
      <c r="D4204" s="11"/>
    </row>
    <row r="4205" ht="12.75">
      <c r="D4205" s="11"/>
    </row>
    <row r="4206" ht="12.75">
      <c r="D4206" s="11"/>
    </row>
    <row r="4207" ht="12.75">
      <c r="D4207" s="11"/>
    </row>
    <row r="4208" ht="12.75">
      <c r="D4208" s="11"/>
    </row>
    <row r="4209" ht="12.75">
      <c r="D4209" s="11"/>
    </row>
    <row r="4210" ht="12.75">
      <c r="D4210" s="11"/>
    </row>
    <row r="4211" ht="12.75">
      <c r="D4211" s="11"/>
    </row>
    <row r="4212" ht="12.75">
      <c r="D4212" s="11"/>
    </row>
    <row r="4213" ht="12.75">
      <c r="D4213" s="11"/>
    </row>
    <row r="4214" ht="12.75">
      <c r="D4214" s="11"/>
    </row>
    <row r="4215" ht="12.75">
      <c r="D4215" s="11"/>
    </row>
    <row r="4216" ht="12.75">
      <c r="D4216" s="11"/>
    </row>
    <row r="4217" ht="12.75">
      <c r="D4217" s="11"/>
    </row>
    <row r="4218" ht="12.75">
      <c r="D4218" s="11"/>
    </row>
    <row r="4219" ht="12.75">
      <c r="D4219" s="11"/>
    </row>
    <row r="4220" ht="12.75">
      <c r="D4220" s="11"/>
    </row>
    <row r="4221" ht="12.75">
      <c r="D4221" s="11"/>
    </row>
    <row r="4222" ht="12.75">
      <c r="D4222" s="11"/>
    </row>
    <row r="4223" ht="12.75">
      <c r="D4223" s="11"/>
    </row>
    <row r="4224" ht="12.75">
      <c r="D4224" s="11"/>
    </row>
    <row r="4225" ht="12.75">
      <c r="D4225" s="11"/>
    </row>
    <row r="4226" ht="12.75">
      <c r="D4226" s="11"/>
    </row>
    <row r="4227" ht="12.75">
      <c r="D4227" s="11"/>
    </row>
    <row r="4228" ht="12.75">
      <c r="D4228" s="11"/>
    </row>
    <row r="4229" ht="12.75">
      <c r="D4229" s="11"/>
    </row>
    <row r="4230" ht="12.75">
      <c r="D4230" s="11"/>
    </row>
    <row r="4231" ht="12.75">
      <c r="D4231" s="11"/>
    </row>
    <row r="4232" ht="12.75">
      <c r="D4232" s="11"/>
    </row>
    <row r="4233" ht="12.75">
      <c r="D4233" s="11"/>
    </row>
    <row r="4234" ht="12.75">
      <c r="D4234" s="11"/>
    </row>
    <row r="4235" ht="12.75">
      <c r="D4235" s="11"/>
    </row>
    <row r="4236" ht="12.75">
      <c r="D4236" s="11"/>
    </row>
    <row r="4237" ht="12.75">
      <c r="D4237" s="11"/>
    </row>
    <row r="4238" ht="12.75">
      <c r="D4238" s="11"/>
    </row>
    <row r="4239" ht="12.75">
      <c r="D4239" s="11"/>
    </row>
    <row r="4240" ht="12.75">
      <c r="D4240" s="11"/>
    </row>
    <row r="4241" ht="12.75">
      <c r="D4241" s="11"/>
    </row>
    <row r="4242" ht="12.75">
      <c r="D4242" s="11"/>
    </row>
    <row r="4243" ht="12.75">
      <c r="D4243" s="11"/>
    </row>
    <row r="4244" ht="12.75">
      <c r="D4244" s="11"/>
    </row>
    <row r="4245" ht="12.75">
      <c r="D4245" s="11"/>
    </row>
    <row r="4246" ht="12.75">
      <c r="D4246" s="11"/>
    </row>
    <row r="4247" ht="12.75">
      <c r="D4247" s="11"/>
    </row>
    <row r="4248" ht="12.75">
      <c r="D4248" s="11"/>
    </row>
    <row r="4249" ht="12.75">
      <c r="D4249" s="11"/>
    </row>
    <row r="4250" ht="12.75">
      <c r="D4250" s="11"/>
    </row>
    <row r="4251" ht="12.75">
      <c r="D4251" s="11"/>
    </row>
    <row r="4252" ht="12.75">
      <c r="D4252" s="11"/>
    </row>
    <row r="4253" ht="12.75">
      <c r="D4253" s="11"/>
    </row>
    <row r="4254" ht="12.75">
      <c r="D4254" s="11"/>
    </row>
    <row r="4255" ht="12.75">
      <c r="D4255" s="11"/>
    </row>
    <row r="4256" ht="12.75">
      <c r="D4256" s="11"/>
    </row>
    <row r="4257" ht="12.75">
      <c r="D4257" s="11"/>
    </row>
    <row r="4258" ht="12.75">
      <c r="D4258" s="11"/>
    </row>
    <row r="4259" ht="12.75">
      <c r="D4259" s="11"/>
    </row>
    <row r="4260" ht="12.75">
      <c r="D4260" s="11"/>
    </row>
    <row r="4261" ht="12.75">
      <c r="D4261" s="11"/>
    </row>
    <row r="4262" ht="12.75">
      <c r="D4262" s="11"/>
    </row>
    <row r="4263" ht="12.75">
      <c r="D4263" s="11"/>
    </row>
    <row r="4264" ht="12.75">
      <c r="D4264" s="11"/>
    </row>
    <row r="4265" ht="12.75">
      <c r="D4265" s="11"/>
    </row>
    <row r="4266" ht="12.75">
      <c r="D4266" s="11"/>
    </row>
    <row r="4267" ht="12.75">
      <c r="D4267" s="11"/>
    </row>
    <row r="4268" ht="12.75">
      <c r="D4268" s="11"/>
    </row>
    <row r="4269" ht="12.75">
      <c r="D4269" s="11"/>
    </row>
    <row r="4270" ht="12.75">
      <c r="D4270" s="11"/>
    </row>
    <row r="4271" ht="12.75">
      <c r="D4271" s="11"/>
    </row>
    <row r="4272" ht="12.75">
      <c r="D4272" s="11"/>
    </row>
    <row r="4273" ht="12.75">
      <c r="D4273" s="11"/>
    </row>
    <row r="4274" ht="12.75">
      <c r="D4274" s="11"/>
    </row>
    <row r="4275" ht="12.75">
      <c r="D4275" s="11"/>
    </row>
    <row r="4276" ht="12.75">
      <c r="D4276" s="11"/>
    </row>
    <row r="4277" ht="12.75">
      <c r="D4277" s="11"/>
    </row>
    <row r="4278" ht="12.75">
      <c r="D4278" s="11"/>
    </row>
    <row r="4279" ht="12.75">
      <c r="D4279" s="11"/>
    </row>
    <row r="4280" ht="12.75">
      <c r="D4280" s="11"/>
    </row>
    <row r="4281" ht="12.75">
      <c r="D4281" s="11"/>
    </row>
    <row r="4282" ht="12.75">
      <c r="D4282" s="11"/>
    </row>
    <row r="4283" ht="12.75">
      <c r="D4283" s="11"/>
    </row>
    <row r="4284" ht="12.75">
      <c r="D4284" s="11"/>
    </row>
    <row r="4285" ht="12.75">
      <c r="D4285" s="11"/>
    </row>
    <row r="4286" ht="12.75">
      <c r="D4286" s="11"/>
    </row>
    <row r="4287" ht="12.75">
      <c r="D4287" s="11"/>
    </row>
    <row r="4288" ht="12.75">
      <c r="D4288" s="11"/>
    </row>
    <row r="4289" ht="12.75">
      <c r="D4289" s="11"/>
    </row>
    <row r="4290" ht="12.75">
      <c r="D4290" s="11"/>
    </row>
    <row r="4291" ht="12.75">
      <c r="D4291" s="11"/>
    </row>
    <row r="4292" ht="12.75">
      <c r="D4292" s="11"/>
    </row>
    <row r="4293" ht="12.75">
      <c r="D4293" s="11"/>
    </row>
    <row r="4294" ht="12.75">
      <c r="D4294" s="11"/>
    </row>
    <row r="4295" ht="12.75">
      <c r="D4295" s="11"/>
    </row>
    <row r="4296" ht="12.75">
      <c r="D4296" s="11"/>
    </row>
    <row r="4297" ht="12.75">
      <c r="D4297" s="11"/>
    </row>
    <row r="4298" ht="12.75">
      <c r="D4298" s="11"/>
    </row>
    <row r="4299" ht="12.75">
      <c r="D4299" s="11"/>
    </row>
    <row r="4300" ht="12.75">
      <c r="D4300" s="11"/>
    </row>
    <row r="4301" ht="12.75">
      <c r="D4301" s="11"/>
    </row>
    <row r="4302" ht="12.75">
      <c r="D4302" s="11"/>
    </row>
    <row r="4303" ht="12.75">
      <c r="D4303" s="11"/>
    </row>
    <row r="4304" ht="12.75">
      <c r="D4304" s="11"/>
    </row>
    <row r="4305" ht="12.75">
      <c r="D4305" s="11"/>
    </row>
    <row r="4306" ht="12.75">
      <c r="D4306" s="11"/>
    </row>
    <row r="4307" ht="12.75">
      <c r="D4307" s="11"/>
    </row>
    <row r="4308" ht="12.75">
      <c r="D4308" s="11"/>
    </row>
    <row r="4309" ht="12.75">
      <c r="D4309" s="11"/>
    </row>
    <row r="4310" ht="12.75">
      <c r="D4310" s="11"/>
    </row>
    <row r="4311" ht="12.75">
      <c r="D4311" s="11"/>
    </row>
    <row r="4312" ht="12.75">
      <c r="D4312" s="11"/>
    </row>
    <row r="4313" ht="12.75">
      <c r="D4313" s="11"/>
    </row>
    <row r="4314" ht="12.75">
      <c r="D4314" s="11"/>
    </row>
    <row r="4315" ht="12.75">
      <c r="D4315" s="11"/>
    </row>
    <row r="4316" ht="12.75">
      <c r="D4316" s="11"/>
    </row>
    <row r="4317" ht="12.75">
      <c r="D4317" s="11"/>
    </row>
    <row r="4318" ht="12.75">
      <c r="D4318" s="11"/>
    </row>
    <row r="4319" ht="12.75">
      <c r="D4319" s="11"/>
    </row>
    <row r="4320" ht="12.75">
      <c r="D4320" s="11"/>
    </row>
    <row r="4321" ht="12.75">
      <c r="D4321" s="11"/>
    </row>
    <row r="4322" ht="12.75">
      <c r="D4322" s="11"/>
    </row>
    <row r="4323" ht="12.75">
      <c r="D4323" s="11"/>
    </row>
    <row r="4324" ht="12.75">
      <c r="D4324" s="11"/>
    </row>
    <row r="4325" ht="12.75">
      <c r="D4325" s="11"/>
    </row>
    <row r="4326" ht="12.75">
      <c r="D4326" s="11"/>
    </row>
    <row r="4327" ht="12.75">
      <c r="D4327" s="11"/>
    </row>
    <row r="4328" ht="12.75">
      <c r="D4328" s="11"/>
    </row>
    <row r="4329" ht="12.75">
      <c r="D4329" s="11"/>
    </row>
    <row r="4330" ht="12.75">
      <c r="D4330" s="11"/>
    </row>
    <row r="4331" ht="12.75">
      <c r="D4331" s="11"/>
    </row>
    <row r="4332" ht="12.75">
      <c r="D4332" s="11"/>
    </row>
    <row r="4333" ht="12.75">
      <c r="D4333" s="11"/>
    </row>
    <row r="4334" ht="12.75">
      <c r="D4334" s="11"/>
    </row>
    <row r="4335" ht="12.75">
      <c r="D4335" s="11"/>
    </row>
    <row r="4336" ht="12.75">
      <c r="D4336" s="11"/>
    </row>
    <row r="4337" ht="12.75">
      <c r="D4337" s="11"/>
    </row>
    <row r="4338" ht="12.75">
      <c r="D4338" s="11"/>
    </row>
    <row r="4339" ht="12.75">
      <c r="D4339" s="11"/>
    </row>
    <row r="4340" ht="12.75">
      <c r="D4340" s="11"/>
    </row>
    <row r="4341" ht="12.75">
      <c r="D4341" s="11"/>
    </row>
    <row r="4342" ht="12.75">
      <c r="D4342" s="11"/>
    </row>
    <row r="4343" ht="12.75">
      <c r="D4343" s="11"/>
    </row>
    <row r="4344" ht="12.75">
      <c r="D4344" s="11"/>
    </row>
    <row r="4345" ht="12.75">
      <c r="D4345" s="11"/>
    </row>
    <row r="4346" ht="12.75">
      <c r="D4346" s="11"/>
    </row>
    <row r="4347" ht="12.75">
      <c r="D4347" s="11"/>
    </row>
    <row r="4348" ht="12.75">
      <c r="D4348" s="11"/>
    </row>
    <row r="4349" ht="12.75">
      <c r="D4349" s="11"/>
    </row>
    <row r="4350" ht="12.75">
      <c r="D4350" s="11"/>
    </row>
    <row r="4351" ht="12.75">
      <c r="D4351" s="11"/>
    </row>
    <row r="4352" ht="12.75">
      <c r="D4352" s="11"/>
    </row>
    <row r="4353" ht="12.75">
      <c r="D4353" s="11"/>
    </row>
    <row r="4354" ht="12.75">
      <c r="D4354" s="11"/>
    </row>
    <row r="4355" ht="12.75">
      <c r="D4355" s="11"/>
    </row>
    <row r="4356" ht="12.75">
      <c r="D4356" s="11"/>
    </row>
    <row r="4357" ht="12.75">
      <c r="D4357" s="11"/>
    </row>
    <row r="4358" ht="12.75">
      <c r="D4358" s="11"/>
    </row>
    <row r="4359" ht="12.75">
      <c r="D4359" s="11"/>
    </row>
    <row r="4360" ht="12.75">
      <c r="D4360" s="11"/>
    </row>
    <row r="4361" ht="12.75">
      <c r="D4361" s="11"/>
    </row>
    <row r="4362" ht="12.75">
      <c r="D4362" s="11"/>
    </row>
    <row r="4363" ht="12.75">
      <c r="D4363" s="11"/>
    </row>
    <row r="4364" ht="12.75">
      <c r="D4364" s="11"/>
    </row>
    <row r="4365" ht="12.75">
      <c r="D4365" s="11"/>
    </row>
    <row r="4366" ht="12.75">
      <c r="D4366" s="11"/>
    </row>
    <row r="4367" ht="12.75">
      <c r="D4367" s="11"/>
    </row>
    <row r="4368" ht="12.75">
      <c r="D4368" s="11"/>
    </row>
    <row r="4369" ht="12.75">
      <c r="D4369" s="11"/>
    </row>
    <row r="4370" ht="12.75">
      <c r="D4370" s="11"/>
    </row>
    <row r="4371" ht="12.75">
      <c r="D4371" s="11"/>
    </row>
    <row r="4372" ht="12.75">
      <c r="D4372" s="11"/>
    </row>
    <row r="4373" ht="12.75">
      <c r="D4373" s="11"/>
    </row>
    <row r="4374" ht="12.75">
      <c r="D4374" s="11"/>
    </row>
    <row r="4375" ht="12.75">
      <c r="D4375" s="11"/>
    </row>
    <row r="4376" ht="12.75">
      <c r="D4376" s="11"/>
    </row>
    <row r="4377" ht="12.75">
      <c r="D4377" s="11"/>
    </row>
    <row r="4378" ht="12.75">
      <c r="D4378" s="11"/>
    </row>
    <row r="4379" ht="12.75">
      <c r="D4379" s="11"/>
    </row>
    <row r="4380" ht="12.75">
      <c r="D4380" s="11"/>
    </row>
    <row r="4381" ht="12.75">
      <c r="D4381" s="11"/>
    </row>
    <row r="4382" ht="12.75">
      <c r="D4382" s="11"/>
    </row>
    <row r="4383" ht="12.75">
      <c r="D4383" s="11"/>
    </row>
    <row r="4384" ht="12.75">
      <c r="D4384" s="11"/>
    </row>
    <row r="4385" ht="12.75">
      <c r="D4385" s="11"/>
    </row>
    <row r="4386" ht="12.75">
      <c r="D4386" s="11"/>
    </row>
    <row r="4387" ht="12.75">
      <c r="D4387" s="11"/>
    </row>
    <row r="4388" ht="12.75">
      <c r="D4388" s="11"/>
    </row>
    <row r="4389" ht="12.75">
      <c r="D4389" s="11"/>
    </row>
    <row r="4390" ht="12.75">
      <c r="D4390" s="11"/>
    </row>
    <row r="4391" ht="12.75">
      <c r="D4391" s="11"/>
    </row>
    <row r="4392" ht="12.75">
      <c r="D4392" s="11"/>
    </row>
    <row r="4393" ht="12.75">
      <c r="D4393" s="11"/>
    </row>
    <row r="4394" ht="12.75">
      <c r="D4394" s="11"/>
    </row>
    <row r="4395" ht="12.75">
      <c r="D4395" s="11"/>
    </row>
    <row r="4396" ht="12.75">
      <c r="D4396" s="11"/>
    </row>
    <row r="4397" ht="12.75">
      <c r="D4397" s="11"/>
    </row>
    <row r="4398" ht="12.75">
      <c r="D4398" s="11"/>
    </row>
    <row r="4399" ht="12.75">
      <c r="D4399" s="11"/>
    </row>
    <row r="4400" ht="12.75">
      <c r="D4400" s="11"/>
    </row>
    <row r="4401" ht="12.75">
      <c r="D4401" s="11"/>
    </row>
    <row r="4402" ht="12.75">
      <c r="D4402" s="11"/>
    </row>
    <row r="4403" ht="12.75">
      <c r="D4403" s="11"/>
    </row>
    <row r="4404" ht="12.75">
      <c r="D4404" s="11"/>
    </row>
    <row r="4405" ht="12.75">
      <c r="D4405" s="11"/>
    </row>
    <row r="4406" ht="12.75">
      <c r="D4406" s="11"/>
    </row>
    <row r="4407" ht="12.75">
      <c r="D4407" s="11"/>
    </row>
    <row r="4408" ht="12.75">
      <c r="D4408" s="11"/>
    </row>
    <row r="4409" ht="12.75">
      <c r="D4409" s="11"/>
    </row>
    <row r="4410" ht="12.75">
      <c r="D4410" s="11"/>
    </row>
    <row r="4411" ht="12.75">
      <c r="D4411" s="11"/>
    </row>
    <row r="4412" ht="12.75">
      <c r="D4412" s="11"/>
    </row>
    <row r="4413" ht="12.75">
      <c r="D4413" s="11"/>
    </row>
    <row r="4414" ht="12.75">
      <c r="D4414" s="11"/>
    </row>
    <row r="4415" ht="12.75">
      <c r="D4415" s="11"/>
    </row>
    <row r="4416" ht="12.75">
      <c r="D4416" s="11"/>
    </row>
    <row r="4417" ht="12.75">
      <c r="D4417" s="11"/>
    </row>
    <row r="4418" ht="12.75">
      <c r="D4418" s="11"/>
    </row>
    <row r="4419" ht="12.75">
      <c r="D4419" s="11"/>
    </row>
    <row r="4420" ht="12.75">
      <c r="D4420" s="11"/>
    </row>
    <row r="4421" ht="12.75">
      <c r="D4421" s="11"/>
    </row>
    <row r="4422" ht="12.75">
      <c r="D4422" s="11"/>
    </row>
    <row r="4423" ht="12.75">
      <c r="D4423" s="11"/>
    </row>
    <row r="4424" ht="12.75">
      <c r="D4424" s="11"/>
    </row>
    <row r="4425" ht="12.75">
      <c r="D4425" s="11"/>
    </row>
    <row r="4426" ht="12.75">
      <c r="D4426" s="11"/>
    </row>
    <row r="4427" ht="12.75">
      <c r="D4427" s="11"/>
    </row>
    <row r="4428" ht="12.75">
      <c r="D4428" s="11"/>
    </row>
    <row r="4429" ht="12.75">
      <c r="D4429" s="11"/>
    </row>
    <row r="4430" ht="12.75">
      <c r="D4430" s="11"/>
    </row>
    <row r="4431" ht="12.75">
      <c r="D4431" s="11"/>
    </row>
    <row r="4432" ht="12.75">
      <c r="D4432" s="11"/>
    </row>
    <row r="4433" ht="12.75">
      <c r="D4433" s="11"/>
    </row>
    <row r="4434" ht="12.75">
      <c r="D4434" s="11"/>
    </row>
    <row r="4435" ht="12.75">
      <c r="D4435" s="11"/>
    </row>
    <row r="4436" ht="12.75">
      <c r="D4436" s="11"/>
    </row>
    <row r="4437" ht="12.75">
      <c r="D4437" s="11"/>
    </row>
    <row r="4438" ht="12.75">
      <c r="D4438" s="11"/>
    </row>
    <row r="4439" ht="12.75">
      <c r="D4439" s="11"/>
    </row>
    <row r="4440" ht="12.75">
      <c r="D4440" s="11"/>
    </row>
    <row r="4441" ht="12.75">
      <c r="D4441" s="11"/>
    </row>
    <row r="4442" ht="12.75">
      <c r="D4442" s="11"/>
    </row>
    <row r="4443" ht="12.75">
      <c r="D4443" s="11"/>
    </row>
    <row r="4444" ht="12.75">
      <c r="D4444" s="11"/>
    </row>
    <row r="4445" ht="12.75">
      <c r="D4445" s="11"/>
    </row>
    <row r="4446" ht="12.75">
      <c r="D4446" s="11"/>
    </row>
    <row r="4447" ht="12.75">
      <c r="D4447" s="11"/>
    </row>
    <row r="4448" ht="12.75">
      <c r="D4448" s="11"/>
    </row>
    <row r="4449" ht="12.75">
      <c r="D4449" s="11"/>
    </row>
    <row r="4450" ht="12.75">
      <c r="D4450" s="11"/>
    </row>
    <row r="4451" ht="12.75">
      <c r="D4451" s="11"/>
    </row>
    <row r="4452" ht="12.75">
      <c r="D4452" s="11"/>
    </row>
    <row r="4453" ht="12.75">
      <c r="D4453" s="11"/>
    </row>
    <row r="4454" ht="12.75">
      <c r="D4454" s="11"/>
    </row>
    <row r="4455" ht="12.75">
      <c r="D4455" s="11"/>
    </row>
    <row r="4456" ht="12.75">
      <c r="D4456" s="11"/>
    </row>
    <row r="4457" ht="12.75">
      <c r="D4457" s="11"/>
    </row>
    <row r="4458" ht="12.75">
      <c r="D4458" s="11"/>
    </row>
    <row r="4459" ht="12.75">
      <c r="D4459" s="11"/>
    </row>
    <row r="4460" ht="12.75">
      <c r="D4460" s="11"/>
    </row>
    <row r="4461" ht="12.75">
      <c r="D4461" s="11"/>
    </row>
    <row r="4462" ht="12.75">
      <c r="D4462" s="11"/>
    </row>
    <row r="4463" ht="12.75">
      <c r="D4463" s="11"/>
    </row>
    <row r="4464" ht="12.75">
      <c r="D4464" s="11"/>
    </row>
    <row r="4465" ht="12.75">
      <c r="D4465" s="11"/>
    </row>
    <row r="4466" ht="12.75">
      <c r="D4466" s="11"/>
    </row>
    <row r="4467" ht="12.75">
      <c r="D4467" s="11"/>
    </row>
    <row r="4468" ht="12.75">
      <c r="D4468" s="11"/>
    </row>
    <row r="4469" ht="12.75">
      <c r="D4469" s="11"/>
    </row>
    <row r="4470" ht="12.75">
      <c r="D4470" s="11"/>
    </row>
    <row r="4471" ht="12.75">
      <c r="D4471" s="11"/>
    </row>
    <row r="4472" ht="12.75">
      <c r="D4472" s="11"/>
    </row>
    <row r="4473" ht="12.75">
      <c r="D4473" s="11"/>
    </row>
    <row r="4474" ht="12.75">
      <c r="D4474" s="11"/>
    </row>
    <row r="4475" ht="12.75">
      <c r="D4475" s="11"/>
    </row>
    <row r="4476" ht="12.75">
      <c r="D4476" s="11"/>
    </row>
    <row r="4477" ht="12.75">
      <c r="D4477" s="11"/>
    </row>
    <row r="4478" ht="12.75">
      <c r="D4478" s="11"/>
    </row>
    <row r="4479" ht="12.75">
      <c r="D4479" s="11"/>
    </row>
    <row r="4480" ht="12.75">
      <c r="D4480" s="11"/>
    </row>
    <row r="4481" ht="12.75">
      <c r="D4481" s="11"/>
    </row>
    <row r="4482" ht="12.75">
      <c r="D4482" s="11"/>
    </row>
    <row r="4483" ht="12.75">
      <c r="D4483" s="11"/>
    </row>
    <row r="4484" ht="12.75">
      <c r="D4484" s="11"/>
    </row>
    <row r="4485" ht="12.75">
      <c r="D4485" s="11"/>
    </row>
    <row r="4486" ht="12.75">
      <c r="D4486" s="11"/>
    </row>
    <row r="4487" ht="12.75">
      <c r="D4487" s="11"/>
    </row>
    <row r="4488" ht="12.75">
      <c r="D4488" s="11"/>
    </row>
    <row r="4489" ht="12.75">
      <c r="D4489" s="11"/>
    </row>
    <row r="4490" ht="12.75">
      <c r="D4490" s="11"/>
    </row>
    <row r="4491" ht="12.75">
      <c r="D4491" s="11"/>
    </row>
    <row r="4492" ht="12.75">
      <c r="D4492" s="11"/>
    </row>
    <row r="4493" ht="12.75">
      <c r="D4493" s="11"/>
    </row>
    <row r="4494" ht="12.75">
      <c r="D4494" s="11"/>
    </row>
    <row r="4495" ht="12.75">
      <c r="D4495" s="11"/>
    </row>
    <row r="4496" ht="12.75">
      <c r="D4496" s="11"/>
    </row>
    <row r="4497" ht="12.75">
      <c r="D4497" s="11"/>
    </row>
    <row r="4498" ht="12.75">
      <c r="D4498" s="11"/>
    </row>
    <row r="4499" ht="12.75">
      <c r="D4499" s="11"/>
    </row>
    <row r="4500" ht="12.75">
      <c r="D4500" s="11"/>
    </row>
    <row r="4501" ht="12.75">
      <c r="D4501" s="11"/>
    </row>
    <row r="4502" ht="12.75">
      <c r="D4502" s="11"/>
    </row>
    <row r="4503" ht="12.75">
      <c r="D4503" s="11"/>
    </row>
    <row r="4504" ht="12.75">
      <c r="D4504" s="11"/>
    </row>
    <row r="4505" ht="12.75">
      <c r="D4505" s="11"/>
    </row>
    <row r="4506" ht="12.75">
      <c r="D4506" s="11"/>
    </row>
    <row r="4507" ht="12.75">
      <c r="D4507" s="11"/>
    </row>
    <row r="4508" ht="12.75">
      <c r="D4508" s="11"/>
    </row>
    <row r="4509" ht="12.75">
      <c r="D4509" s="11"/>
    </row>
    <row r="4510" ht="12.75">
      <c r="D4510" s="11"/>
    </row>
    <row r="4511" ht="12.75">
      <c r="D4511" s="11"/>
    </row>
    <row r="4512" ht="12.75">
      <c r="D4512" s="11"/>
    </row>
    <row r="4513" ht="12.75">
      <c r="D4513" s="11"/>
    </row>
    <row r="4514" ht="12.75">
      <c r="D4514" s="11"/>
    </row>
    <row r="4515" ht="12.75">
      <c r="D4515" s="11"/>
    </row>
    <row r="4516" ht="12.75">
      <c r="D4516" s="11"/>
    </row>
    <row r="4517" ht="12.75">
      <c r="D4517" s="11"/>
    </row>
    <row r="4518" ht="12.75">
      <c r="D4518" s="11"/>
    </row>
    <row r="4519" ht="12.75">
      <c r="D4519" s="11"/>
    </row>
    <row r="4520" ht="12.75">
      <c r="D4520" s="11"/>
    </row>
    <row r="4521" ht="12.75">
      <c r="D4521" s="11"/>
    </row>
    <row r="4522" ht="12.75">
      <c r="D4522" s="11"/>
    </row>
    <row r="4523" ht="12.75">
      <c r="D4523" s="11"/>
    </row>
    <row r="4524" ht="12.75">
      <c r="D4524" s="11"/>
    </row>
    <row r="4525" ht="12.75">
      <c r="D4525" s="11"/>
    </row>
    <row r="4526" ht="12.75">
      <c r="D4526" s="11"/>
    </row>
    <row r="4527" ht="12.75">
      <c r="D4527" s="11"/>
    </row>
    <row r="4528" ht="12.75">
      <c r="D4528" s="11"/>
    </row>
    <row r="4529" ht="12.75">
      <c r="D4529" s="11"/>
    </row>
    <row r="4530" ht="12.75">
      <c r="D4530" s="11"/>
    </row>
    <row r="4531" ht="12.75">
      <c r="D4531" s="11"/>
    </row>
    <row r="4532" ht="12.75">
      <c r="D4532" s="11"/>
    </row>
    <row r="4533" ht="12.75">
      <c r="D4533" s="11"/>
    </row>
    <row r="4534" ht="12.75">
      <c r="D4534" s="11"/>
    </row>
    <row r="4535" ht="12.75">
      <c r="D4535" s="11"/>
    </row>
    <row r="4536" ht="12.75">
      <c r="D4536" s="11"/>
    </row>
    <row r="4537" ht="12.75">
      <c r="D4537" s="11"/>
    </row>
    <row r="4538" ht="12.75">
      <c r="D4538" s="11"/>
    </row>
    <row r="4539" ht="12.75">
      <c r="D4539" s="11"/>
    </row>
    <row r="4540" ht="12.75">
      <c r="D4540" s="11"/>
    </row>
    <row r="4541" ht="12.75">
      <c r="D4541" s="11"/>
    </row>
    <row r="4542" ht="12.75">
      <c r="D4542" s="11"/>
    </row>
    <row r="4543" ht="12.75">
      <c r="D4543" s="11"/>
    </row>
    <row r="4544" ht="12.75">
      <c r="D4544" s="11"/>
    </row>
    <row r="4545" ht="12.75">
      <c r="D4545" s="11"/>
    </row>
    <row r="4546" ht="12.75">
      <c r="D4546" s="11"/>
    </row>
    <row r="4547" ht="12.75">
      <c r="D4547" s="11"/>
    </row>
    <row r="4548" ht="12.75">
      <c r="D4548" s="11"/>
    </row>
    <row r="4549" ht="12.75">
      <c r="D4549" s="11"/>
    </row>
    <row r="4550" ht="12.75">
      <c r="D4550" s="11"/>
    </row>
    <row r="4551" ht="12.75">
      <c r="D4551" s="11"/>
    </row>
    <row r="4552" ht="12.75">
      <c r="D4552" s="11"/>
    </row>
    <row r="4553" ht="12.75">
      <c r="D4553" s="11"/>
    </row>
    <row r="4554" ht="12.75">
      <c r="D4554" s="11"/>
    </row>
    <row r="4555" ht="12.75">
      <c r="D4555" s="11"/>
    </row>
    <row r="4556" ht="12.75">
      <c r="D4556" s="11"/>
    </row>
    <row r="4557" ht="12.75">
      <c r="D4557" s="11"/>
    </row>
    <row r="4558" ht="12.75">
      <c r="D4558" s="11"/>
    </row>
    <row r="4559" ht="12.75">
      <c r="D4559" s="11"/>
    </row>
    <row r="4560" ht="12.75">
      <c r="D4560" s="11"/>
    </row>
    <row r="4561" ht="12.75">
      <c r="D4561" s="11"/>
    </row>
    <row r="4562" ht="12.75">
      <c r="D4562" s="11"/>
    </row>
    <row r="4563" ht="12.75">
      <c r="D4563" s="11"/>
    </row>
    <row r="4564" ht="12.75">
      <c r="D4564" s="11"/>
    </row>
    <row r="4565" ht="12.75">
      <c r="D4565" s="11"/>
    </row>
    <row r="4566" ht="12.75">
      <c r="D4566" s="11"/>
    </row>
    <row r="4567" ht="12.75">
      <c r="D4567" s="11"/>
    </row>
    <row r="4568" ht="12.75">
      <c r="D4568" s="11"/>
    </row>
    <row r="4569" ht="12.75">
      <c r="D4569" s="11"/>
    </row>
    <row r="4570" ht="12.75">
      <c r="D4570" s="11"/>
    </row>
    <row r="4571" ht="12.75">
      <c r="D4571" s="11"/>
    </row>
    <row r="4572" ht="12.75">
      <c r="D4572" s="11"/>
    </row>
    <row r="4573" ht="12.75">
      <c r="D4573" s="11"/>
    </row>
    <row r="4574" ht="12.75">
      <c r="D4574" s="11"/>
    </row>
    <row r="4575" ht="12.75">
      <c r="D4575" s="11"/>
    </row>
    <row r="4576" ht="12.75">
      <c r="D4576" s="11"/>
    </row>
    <row r="4577" ht="12.75">
      <c r="D4577" s="11"/>
    </row>
    <row r="4578" ht="12.75">
      <c r="D4578" s="11"/>
    </row>
    <row r="4579" ht="12.75">
      <c r="D4579" s="11"/>
    </row>
    <row r="4580" ht="12.75">
      <c r="D4580" s="11"/>
    </row>
    <row r="4581" ht="12.75">
      <c r="D4581" s="11"/>
    </row>
    <row r="4582" ht="12.75">
      <c r="D4582" s="11"/>
    </row>
    <row r="4583" ht="12.75">
      <c r="D4583" s="11"/>
    </row>
    <row r="4584" ht="12.75">
      <c r="D4584" s="11"/>
    </row>
    <row r="4585" ht="12.75">
      <c r="D4585" s="11"/>
    </row>
    <row r="4586" ht="12.75">
      <c r="D4586" s="11"/>
    </row>
    <row r="4587" ht="12.75">
      <c r="D4587" s="11"/>
    </row>
    <row r="4588" ht="12.75">
      <c r="D4588" s="11"/>
    </row>
    <row r="4589" ht="12.75">
      <c r="D4589" s="11"/>
    </row>
    <row r="4590" ht="12.75">
      <c r="D4590" s="11"/>
    </row>
    <row r="4591" ht="12.75">
      <c r="D4591" s="11"/>
    </row>
    <row r="4592" ht="12.75">
      <c r="D4592" s="11"/>
    </row>
    <row r="4593" ht="12.75">
      <c r="D4593" s="11"/>
    </row>
    <row r="4594" ht="12.75">
      <c r="D4594" s="11"/>
    </row>
    <row r="4595" ht="12.75">
      <c r="D4595" s="11"/>
    </row>
    <row r="4596" ht="12.75">
      <c r="D4596" s="11"/>
    </row>
    <row r="4597" ht="12.75">
      <c r="D4597" s="11"/>
    </row>
    <row r="4598" ht="12.75">
      <c r="D4598" s="11"/>
    </row>
    <row r="4599" ht="12.75">
      <c r="D4599" s="11"/>
    </row>
    <row r="4600" ht="12.75">
      <c r="D4600" s="11"/>
    </row>
    <row r="4601" ht="12.75">
      <c r="D4601" s="11"/>
    </row>
    <row r="4602" ht="12.75">
      <c r="D4602" s="11"/>
    </row>
    <row r="4603" ht="12.75">
      <c r="D4603" s="11"/>
    </row>
    <row r="4604" ht="12.75">
      <c r="D4604" s="11"/>
    </row>
    <row r="4605" ht="12.75">
      <c r="D4605" s="11"/>
    </row>
    <row r="4606" ht="12.75">
      <c r="D4606" s="11"/>
    </row>
    <row r="4607" ht="12.75">
      <c r="D4607" s="11"/>
    </row>
    <row r="4608" ht="12.75">
      <c r="D4608" s="11"/>
    </row>
    <row r="4609" ht="12.75">
      <c r="D4609" s="11"/>
    </row>
    <row r="4610" ht="12.75">
      <c r="D4610" s="11"/>
    </row>
    <row r="4611" ht="12.75">
      <c r="D4611" s="11"/>
    </row>
    <row r="4612" ht="12.75">
      <c r="D4612" s="11"/>
    </row>
    <row r="4613" ht="12.75">
      <c r="D4613" s="11"/>
    </row>
    <row r="4614" ht="12.75">
      <c r="D4614" s="11"/>
    </row>
    <row r="4615" ht="12.75">
      <c r="D4615" s="11"/>
    </row>
    <row r="4616" ht="12.75">
      <c r="D4616" s="11"/>
    </row>
    <row r="4617" ht="12.75">
      <c r="D4617" s="11"/>
    </row>
    <row r="4618" ht="12.75">
      <c r="D4618" s="11"/>
    </row>
    <row r="4619" ht="12.75">
      <c r="D4619" s="11"/>
    </row>
    <row r="4620" ht="12.75">
      <c r="D4620" s="11"/>
    </row>
    <row r="4621" ht="12.75">
      <c r="D4621" s="11"/>
    </row>
    <row r="4622" ht="12.75">
      <c r="D4622" s="11"/>
    </row>
    <row r="4623" ht="12.75">
      <c r="D4623" s="11"/>
    </row>
    <row r="4624" ht="12.75">
      <c r="D4624" s="11"/>
    </row>
    <row r="4625" ht="12.75">
      <c r="D4625" s="11"/>
    </row>
    <row r="4626" ht="12.75">
      <c r="D4626" s="11"/>
    </row>
    <row r="4627" ht="12.75">
      <c r="D4627" s="11"/>
    </row>
    <row r="4628" ht="12.75">
      <c r="D4628" s="11"/>
    </row>
    <row r="4629" ht="12.75">
      <c r="D4629" s="11"/>
    </row>
    <row r="4630" ht="12.75">
      <c r="D4630" s="11"/>
    </row>
    <row r="4631" ht="12.75">
      <c r="D4631" s="11"/>
    </row>
    <row r="4632" ht="12.75">
      <c r="D4632" s="11"/>
    </row>
    <row r="4633" ht="12.75">
      <c r="D4633" s="11"/>
    </row>
    <row r="4634" ht="12.75">
      <c r="D4634" s="11"/>
    </row>
    <row r="4635" ht="12.75">
      <c r="D4635" s="11"/>
    </row>
    <row r="4636" ht="12.75">
      <c r="D4636" s="11"/>
    </row>
    <row r="4637" ht="12.75">
      <c r="D4637" s="11"/>
    </row>
    <row r="4638" ht="12.75">
      <c r="D4638" s="11"/>
    </row>
    <row r="4639" ht="12.75">
      <c r="D4639" s="11"/>
    </row>
    <row r="4640" ht="12.75">
      <c r="D4640" s="11"/>
    </row>
    <row r="4641" ht="12.75">
      <c r="D4641" s="11"/>
    </row>
    <row r="4642" ht="12.75">
      <c r="D4642" s="11"/>
    </row>
    <row r="4643" ht="12.75">
      <c r="D4643" s="11"/>
    </row>
    <row r="4644" ht="12.75">
      <c r="D4644" s="11"/>
    </row>
    <row r="4645" ht="12.75">
      <c r="D4645" s="11"/>
    </row>
    <row r="4646" ht="12.75">
      <c r="D4646" s="11"/>
    </row>
    <row r="4647" ht="12.75">
      <c r="D4647" s="11"/>
    </row>
    <row r="4648" ht="12.75">
      <c r="D4648" s="11"/>
    </row>
    <row r="4649" ht="12.75">
      <c r="D4649" s="11"/>
    </row>
    <row r="4650" ht="12.75">
      <c r="D4650" s="11"/>
    </row>
    <row r="4651" ht="12.75">
      <c r="D4651" s="11"/>
    </row>
    <row r="4652" ht="12.75">
      <c r="D4652" s="11"/>
    </row>
    <row r="4653" ht="12.75">
      <c r="D4653" s="11"/>
    </row>
    <row r="4654" ht="12.75">
      <c r="D4654" s="11"/>
    </row>
    <row r="4655" ht="12.75">
      <c r="D4655" s="11"/>
    </row>
    <row r="4656" ht="12.75">
      <c r="D4656" s="11"/>
    </row>
    <row r="4657" ht="12.75">
      <c r="D4657" s="11"/>
    </row>
    <row r="4658" ht="12.75">
      <c r="D4658" s="11"/>
    </row>
    <row r="4659" ht="12.75">
      <c r="D4659" s="11"/>
    </row>
    <row r="4660" ht="12.75">
      <c r="D4660" s="11"/>
    </row>
    <row r="4661" ht="12.75">
      <c r="D4661" s="11"/>
    </row>
    <row r="4662" ht="12.75">
      <c r="D4662" s="11"/>
    </row>
    <row r="4663" ht="12.75">
      <c r="D4663" s="11"/>
    </row>
    <row r="4664" ht="12.75">
      <c r="D4664" s="11"/>
    </row>
    <row r="4665" ht="12.75">
      <c r="D4665" s="11"/>
    </row>
    <row r="4666" ht="12.75">
      <c r="D4666" s="11"/>
    </row>
    <row r="4667" ht="12.75">
      <c r="D4667" s="11"/>
    </row>
    <row r="4668" ht="12.75">
      <c r="D4668" s="11"/>
    </row>
    <row r="4669" ht="12.75">
      <c r="D4669" s="11"/>
    </row>
    <row r="4670" ht="12.75">
      <c r="D4670" s="11"/>
    </row>
    <row r="4671" ht="12.75">
      <c r="D4671" s="11"/>
    </row>
    <row r="4672" ht="12.75">
      <c r="D4672" s="11"/>
    </row>
    <row r="4673" ht="12.75">
      <c r="D4673" s="11"/>
    </row>
    <row r="4674" ht="12.75">
      <c r="D4674" s="11"/>
    </row>
    <row r="4675" ht="12.75">
      <c r="D4675" s="11"/>
    </row>
    <row r="4676" ht="12.75">
      <c r="D4676" s="11"/>
    </row>
    <row r="4677" ht="12.75">
      <c r="D4677" s="11"/>
    </row>
    <row r="4678" ht="12.75">
      <c r="D4678" s="11"/>
    </row>
    <row r="4679" ht="12.75">
      <c r="D4679" s="11"/>
    </row>
    <row r="4680" ht="12.75">
      <c r="D4680" s="11"/>
    </row>
    <row r="4681" ht="12.75">
      <c r="D4681" s="11"/>
    </row>
    <row r="4682" ht="12.75">
      <c r="D4682" s="11"/>
    </row>
    <row r="4683" ht="12.75">
      <c r="D4683" s="11"/>
    </row>
    <row r="4684" ht="12.75">
      <c r="D4684" s="11"/>
    </row>
    <row r="4685" ht="12.75">
      <c r="D4685" s="11"/>
    </row>
    <row r="4686" ht="12.75">
      <c r="D4686" s="11"/>
    </row>
    <row r="4687" ht="12.75">
      <c r="D4687" s="11"/>
    </row>
    <row r="4688" ht="12.75">
      <c r="D4688" s="11"/>
    </row>
    <row r="4689" ht="12.75">
      <c r="D4689" s="11"/>
    </row>
    <row r="4690" ht="12.75">
      <c r="D4690" s="11"/>
    </row>
    <row r="4691" ht="12.75">
      <c r="D4691" s="11"/>
    </row>
    <row r="4692" ht="12.75">
      <c r="D4692" s="11"/>
    </row>
    <row r="4693" ht="12.75">
      <c r="D4693" s="11"/>
    </row>
    <row r="4694" ht="12.75">
      <c r="D4694" s="11"/>
    </row>
    <row r="4695" ht="12.75">
      <c r="D4695" s="11"/>
    </row>
    <row r="4696" ht="12.75">
      <c r="D4696" s="11"/>
    </row>
    <row r="4697" ht="12.75">
      <c r="D4697" s="11"/>
    </row>
    <row r="4698" ht="12.75">
      <c r="D4698" s="11"/>
    </row>
    <row r="4699" ht="12.75">
      <c r="D4699" s="11"/>
    </row>
    <row r="4700" ht="12.75">
      <c r="D4700" s="11"/>
    </row>
    <row r="4701" ht="12.75">
      <c r="D4701" s="11"/>
    </row>
    <row r="4702" ht="12.75">
      <c r="D4702" s="11"/>
    </row>
    <row r="4703" ht="12.75">
      <c r="D4703" s="11"/>
    </row>
    <row r="4704" ht="12.75">
      <c r="D4704" s="11"/>
    </row>
    <row r="4705" ht="12.75">
      <c r="D4705" s="11"/>
    </row>
    <row r="4706" ht="12.75">
      <c r="D4706" s="11"/>
    </row>
    <row r="4707" ht="12.75">
      <c r="D4707" s="11"/>
    </row>
    <row r="4708" ht="12.75">
      <c r="D4708" s="11"/>
    </row>
    <row r="4709" ht="12.75">
      <c r="D4709" s="11"/>
    </row>
    <row r="4710" ht="12.75">
      <c r="D4710" s="11"/>
    </row>
    <row r="4711" ht="12.75">
      <c r="D4711" s="11"/>
    </row>
    <row r="4712" ht="12.75">
      <c r="D4712" s="11"/>
    </row>
    <row r="4713" ht="12.75">
      <c r="D4713" s="11"/>
    </row>
    <row r="4714" ht="12.75">
      <c r="D4714" s="11"/>
    </row>
    <row r="4715" ht="12.75">
      <c r="D4715" s="11"/>
    </row>
    <row r="4716" ht="12.75">
      <c r="D4716" s="11"/>
    </row>
    <row r="4717" ht="12.75">
      <c r="D4717" s="11"/>
    </row>
    <row r="4718" ht="12.75">
      <c r="D4718" s="11"/>
    </row>
    <row r="4719" ht="12.75">
      <c r="D4719" s="11"/>
    </row>
    <row r="4720" ht="12.75">
      <c r="D4720" s="11"/>
    </row>
    <row r="4721" ht="12.75">
      <c r="D4721" s="11"/>
    </row>
    <row r="4722" ht="12.75">
      <c r="D4722" s="11"/>
    </row>
    <row r="4723" ht="12.75">
      <c r="D4723" s="11"/>
    </row>
    <row r="4724" ht="12.75">
      <c r="D4724" s="11"/>
    </row>
    <row r="4725" ht="12.75">
      <c r="D4725" s="11"/>
    </row>
    <row r="4726" ht="12.75">
      <c r="D4726" s="11"/>
    </row>
    <row r="4727" ht="12.75">
      <c r="D4727" s="11"/>
    </row>
    <row r="4728" ht="12.75">
      <c r="D4728" s="11"/>
    </row>
    <row r="4729" ht="12.75">
      <c r="D4729" s="11"/>
    </row>
    <row r="4730" ht="12.75">
      <c r="D4730" s="11"/>
    </row>
    <row r="4731" ht="12.75">
      <c r="D4731" s="11"/>
    </row>
    <row r="4732" ht="12.75">
      <c r="D4732" s="11"/>
    </row>
    <row r="4733" ht="12.75">
      <c r="D4733" s="11"/>
    </row>
    <row r="4734" ht="12.75">
      <c r="D4734" s="11"/>
    </row>
    <row r="4735" ht="12.75">
      <c r="D4735" s="11"/>
    </row>
    <row r="4736" ht="12.75">
      <c r="D4736" s="11"/>
    </row>
    <row r="4737" ht="12.75">
      <c r="D4737" s="11"/>
    </row>
    <row r="4738" ht="12.75">
      <c r="D4738" s="11"/>
    </row>
    <row r="4739" ht="12.75">
      <c r="D4739" s="11"/>
    </row>
    <row r="4740" ht="12.75">
      <c r="D4740" s="11"/>
    </row>
    <row r="4741" ht="12.75">
      <c r="D4741" s="11"/>
    </row>
    <row r="4742" ht="12.75">
      <c r="D4742" s="11"/>
    </row>
    <row r="4743" ht="12.75">
      <c r="D4743" s="11"/>
    </row>
    <row r="4744" ht="12.75">
      <c r="D4744" s="11"/>
    </row>
    <row r="4745" ht="12.75">
      <c r="D4745" s="11"/>
    </row>
    <row r="4746" ht="12.75">
      <c r="D4746" s="11"/>
    </row>
    <row r="4747" ht="12.75">
      <c r="D4747" s="11"/>
    </row>
    <row r="4748" ht="12.75">
      <c r="D4748" s="11"/>
    </row>
    <row r="4749" ht="12.75">
      <c r="D4749" s="11"/>
    </row>
    <row r="4750" ht="12.75">
      <c r="D4750" s="11"/>
    </row>
    <row r="4751" ht="12.75">
      <c r="D4751" s="11"/>
    </row>
    <row r="4752" ht="12.75">
      <c r="D4752" s="11"/>
    </row>
    <row r="4753" ht="12.75">
      <c r="D4753" s="11"/>
    </row>
    <row r="4754" ht="12.75">
      <c r="D4754" s="11"/>
    </row>
    <row r="4755" ht="12.75">
      <c r="D4755" s="11"/>
    </row>
    <row r="4756" ht="12.75">
      <c r="D4756" s="11"/>
    </row>
    <row r="4757" ht="12.75">
      <c r="D4757" s="11"/>
    </row>
    <row r="4758" ht="12.75">
      <c r="D4758" s="11"/>
    </row>
    <row r="4759" ht="12.75">
      <c r="D4759" s="11"/>
    </row>
    <row r="4760" ht="12.75">
      <c r="D4760" s="11"/>
    </row>
    <row r="4761" ht="12.75">
      <c r="D4761" s="11"/>
    </row>
    <row r="4762" ht="12.75">
      <c r="D4762" s="11"/>
    </row>
    <row r="4763" ht="12.75">
      <c r="D4763" s="11"/>
    </row>
    <row r="4764" ht="12.75">
      <c r="D4764" s="11"/>
    </row>
    <row r="4765" ht="12.75">
      <c r="D4765" s="11"/>
    </row>
    <row r="4766" ht="12.75">
      <c r="D4766" s="11"/>
    </row>
    <row r="4767" ht="12.75">
      <c r="D4767" s="11"/>
    </row>
    <row r="4768" ht="12.75">
      <c r="D4768" s="11"/>
    </row>
    <row r="4769" ht="12.75">
      <c r="D4769" s="11"/>
    </row>
    <row r="4770" ht="12.75">
      <c r="D4770" s="11"/>
    </row>
    <row r="4771" ht="12.75">
      <c r="D4771" s="11"/>
    </row>
    <row r="4772" ht="12.75">
      <c r="D4772" s="11"/>
    </row>
    <row r="4773" ht="12.75">
      <c r="D4773" s="11"/>
    </row>
    <row r="4774" ht="12.75">
      <c r="D4774" s="11"/>
    </row>
    <row r="4775" ht="12.75">
      <c r="D4775" s="11"/>
    </row>
    <row r="4776" ht="12.75">
      <c r="D4776" s="11"/>
    </row>
    <row r="4777" ht="12.75">
      <c r="D4777" s="11"/>
    </row>
    <row r="4778" ht="12.75">
      <c r="D4778" s="11"/>
    </row>
    <row r="4779" ht="12.75">
      <c r="D4779" s="11"/>
    </row>
    <row r="4780" ht="12.75">
      <c r="D4780" s="11"/>
    </row>
    <row r="4781" ht="12.75">
      <c r="D4781" s="11"/>
    </row>
    <row r="4782" ht="12.75">
      <c r="D4782" s="11"/>
    </row>
    <row r="4783" ht="12.75">
      <c r="D4783" s="11"/>
    </row>
    <row r="4784" ht="12.75">
      <c r="D4784" s="11"/>
    </row>
    <row r="4785" ht="12.75">
      <c r="D4785" s="11"/>
    </row>
    <row r="4786" ht="12.75">
      <c r="D4786" s="11"/>
    </row>
    <row r="4787" ht="12.75">
      <c r="D4787" s="11"/>
    </row>
    <row r="4788" ht="12.75">
      <c r="D4788" s="11"/>
    </row>
    <row r="4789" ht="12.75">
      <c r="D4789" s="11"/>
    </row>
    <row r="4790" ht="12.75">
      <c r="D4790" s="11"/>
    </row>
    <row r="4791" ht="12.75">
      <c r="D4791" s="11"/>
    </row>
    <row r="4792" ht="12.75">
      <c r="D4792" s="11"/>
    </row>
    <row r="4793" ht="12.75">
      <c r="D4793" s="11"/>
    </row>
    <row r="4794" ht="12.75">
      <c r="D4794" s="11"/>
    </row>
    <row r="4795" ht="12.75">
      <c r="D4795" s="11"/>
    </row>
    <row r="4796" ht="12.75">
      <c r="D4796" s="11"/>
    </row>
    <row r="4797" ht="12.75">
      <c r="D4797" s="11"/>
    </row>
    <row r="4798" ht="12.75">
      <c r="D4798" s="11"/>
    </row>
    <row r="4799" ht="12.75">
      <c r="D4799" s="11"/>
    </row>
    <row r="4800" ht="12.75">
      <c r="D4800" s="11"/>
    </row>
    <row r="4801" ht="12.75">
      <c r="D4801" s="11"/>
    </row>
    <row r="4802" ht="12.75">
      <c r="D4802" s="11"/>
    </row>
    <row r="4803" ht="12.75">
      <c r="D4803" s="11"/>
    </row>
    <row r="4804" ht="12.75">
      <c r="D4804" s="11"/>
    </row>
    <row r="4805" ht="12.75">
      <c r="D4805" s="11"/>
    </row>
    <row r="4806" ht="12.75">
      <c r="D4806" s="11"/>
    </row>
    <row r="4807" ht="12.75">
      <c r="D4807" s="11"/>
    </row>
    <row r="4808" ht="12.75">
      <c r="D4808" s="11"/>
    </row>
    <row r="4809" ht="12.75">
      <c r="D4809" s="11"/>
    </row>
    <row r="4810" ht="12.75">
      <c r="D4810" s="11"/>
    </row>
    <row r="4811" ht="12.75">
      <c r="D4811" s="11"/>
    </row>
    <row r="4812" ht="12.75">
      <c r="D4812" s="11"/>
    </row>
    <row r="4813" ht="12.75">
      <c r="D4813" s="11"/>
    </row>
    <row r="4814" ht="12.75">
      <c r="D4814" s="11"/>
    </row>
    <row r="4815" ht="12.75">
      <c r="D4815" s="11"/>
    </row>
    <row r="4816" ht="12.75">
      <c r="D4816" s="11"/>
    </row>
    <row r="4817" ht="12.75">
      <c r="D4817" s="11"/>
    </row>
    <row r="4818" ht="12.75">
      <c r="D4818" s="11"/>
    </row>
    <row r="4819" ht="12.75">
      <c r="D4819" s="11"/>
    </row>
    <row r="4820" ht="12.75">
      <c r="D4820" s="11"/>
    </row>
    <row r="4821" ht="12.75">
      <c r="D4821" s="11"/>
    </row>
    <row r="4822" ht="12.75">
      <c r="D4822" s="11"/>
    </row>
    <row r="4823" ht="12.75">
      <c r="D4823" s="11"/>
    </row>
    <row r="4824" ht="12.75">
      <c r="D4824" s="11"/>
    </row>
    <row r="4825" ht="12.75">
      <c r="D4825" s="11"/>
    </row>
    <row r="4826" ht="12.75">
      <c r="D4826" s="11"/>
    </row>
    <row r="4827" ht="12.75">
      <c r="D4827" s="11"/>
    </row>
    <row r="4828" ht="12.75">
      <c r="D4828" s="11"/>
    </row>
    <row r="4829" ht="12.75">
      <c r="D4829" s="11"/>
    </row>
    <row r="4830" ht="12.75">
      <c r="D4830" s="11"/>
    </row>
    <row r="4831" ht="12.75">
      <c r="D4831" s="11"/>
    </row>
    <row r="4832" ht="12.75">
      <c r="D4832" s="11"/>
    </row>
    <row r="4833" ht="12.75">
      <c r="D4833" s="11"/>
    </row>
    <row r="4834" ht="12.75">
      <c r="D4834" s="11"/>
    </row>
    <row r="4835" ht="12.75">
      <c r="D4835" s="11"/>
    </row>
    <row r="4836" ht="12.75">
      <c r="D4836" s="11"/>
    </row>
    <row r="4837" ht="12.75">
      <c r="D4837" s="11"/>
    </row>
    <row r="4838" ht="12.75">
      <c r="D4838" s="11"/>
    </row>
    <row r="4839" ht="12.75">
      <c r="D4839" s="11"/>
    </row>
    <row r="4840" ht="12.75">
      <c r="D4840" s="11"/>
    </row>
    <row r="4841" ht="12.75">
      <c r="D4841" s="11"/>
    </row>
    <row r="4842" ht="12.75">
      <c r="D4842" s="11"/>
    </row>
    <row r="4843" ht="12.75">
      <c r="D4843" s="11"/>
    </row>
    <row r="4844" ht="12.75">
      <c r="D4844" s="11"/>
    </row>
    <row r="4845" ht="12.75">
      <c r="D4845" s="11"/>
    </row>
    <row r="4846" ht="12.75">
      <c r="D4846" s="11"/>
    </row>
    <row r="4847" ht="12.75">
      <c r="D4847" s="11"/>
    </row>
    <row r="4848" ht="12.75">
      <c r="D4848" s="11"/>
    </row>
    <row r="4849" ht="12.75">
      <c r="D4849" s="11"/>
    </row>
    <row r="4850" ht="12.75">
      <c r="D4850" s="11"/>
    </row>
    <row r="4851" ht="12.75">
      <c r="D4851" s="11"/>
    </row>
    <row r="4852" ht="12.75">
      <c r="D4852" s="11"/>
    </row>
    <row r="4853" ht="12.75">
      <c r="D4853" s="11"/>
    </row>
    <row r="4854" ht="12.75">
      <c r="D4854" s="11"/>
    </row>
    <row r="4855" ht="12.75">
      <c r="D4855" s="11"/>
    </row>
    <row r="4856" ht="12.75">
      <c r="D4856" s="11"/>
    </row>
    <row r="4857" ht="12.75">
      <c r="D4857" s="11"/>
    </row>
    <row r="4858" ht="12.75">
      <c r="D4858" s="11"/>
    </row>
    <row r="4859" ht="12.75">
      <c r="D4859" s="11"/>
    </row>
    <row r="4860" ht="12.75">
      <c r="D4860" s="11"/>
    </row>
    <row r="4861" ht="12.75">
      <c r="D4861" s="11"/>
    </row>
    <row r="4862" ht="12.75">
      <c r="D4862" s="11"/>
    </row>
    <row r="4863" ht="12.75">
      <c r="D4863" s="11"/>
    </row>
    <row r="4864" ht="12.75">
      <c r="D4864" s="11"/>
    </row>
    <row r="4865" ht="12.75">
      <c r="D4865" s="11"/>
    </row>
    <row r="4866" ht="12.75">
      <c r="D4866" s="11"/>
    </row>
    <row r="4867" ht="12.75">
      <c r="D4867" s="11"/>
    </row>
    <row r="4868" ht="12.75">
      <c r="D4868" s="11"/>
    </row>
    <row r="4869" ht="12.75">
      <c r="D4869" s="11"/>
    </row>
    <row r="4870" ht="12.75">
      <c r="D4870" s="11"/>
    </row>
    <row r="4871" ht="12.75">
      <c r="D4871" s="11"/>
    </row>
    <row r="4872" ht="12.75">
      <c r="D4872" s="11"/>
    </row>
    <row r="4873" ht="12.75">
      <c r="D4873" s="11"/>
    </row>
    <row r="4874" ht="12.75">
      <c r="D4874" s="11"/>
    </row>
    <row r="4875" ht="12.75">
      <c r="D4875" s="11"/>
    </row>
    <row r="4876" ht="12.75">
      <c r="D4876" s="11"/>
    </row>
    <row r="4877" ht="12.75">
      <c r="D4877" s="11"/>
    </row>
    <row r="4878" ht="12.75">
      <c r="D4878" s="11"/>
    </row>
    <row r="4879" ht="12.75">
      <c r="D4879" s="11"/>
    </row>
    <row r="4880" ht="12.75">
      <c r="D4880" s="11"/>
    </row>
    <row r="4881" ht="12.75">
      <c r="D4881" s="11"/>
    </row>
    <row r="4882" ht="12.75">
      <c r="D4882" s="11"/>
    </row>
    <row r="4883" ht="12.75">
      <c r="D4883" s="11"/>
    </row>
    <row r="4884" ht="12.75">
      <c r="D4884" s="11"/>
    </row>
    <row r="4885" ht="12.75">
      <c r="D4885" s="11"/>
    </row>
    <row r="4886" ht="12.75">
      <c r="D4886" s="11"/>
    </row>
    <row r="4887" ht="12.75">
      <c r="D4887" s="11"/>
    </row>
    <row r="4888" ht="12.75">
      <c r="D4888" s="11"/>
    </row>
    <row r="4889" ht="12.75">
      <c r="D4889" s="11"/>
    </row>
    <row r="4890" ht="12.75">
      <c r="D4890" s="11"/>
    </row>
    <row r="4891" ht="12.75">
      <c r="D4891" s="11"/>
    </row>
    <row r="4892" ht="12.75">
      <c r="D4892" s="11"/>
    </row>
    <row r="4893" ht="12.75">
      <c r="D4893" s="11"/>
    </row>
    <row r="4894" ht="12.75">
      <c r="D4894" s="11"/>
    </row>
    <row r="4895" ht="12.75">
      <c r="D4895" s="11"/>
    </row>
    <row r="4896" ht="12.75">
      <c r="D4896" s="11"/>
    </row>
    <row r="4897" ht="12.75">
      <c r="D4897" s="11"/>
    </row>
    <row r="4898" ht="12.75">
      <c r="D4898" s="11"/>
    </row>
    <row r="4899" ht="12.75">
      <c r="D4899" s="11"/>
    </row>
    <row r="4900" ht="12.75">
      <c r="D4900" s="11"/>
    </row>
    <row r="4901" ht="12.75">
      <c r="D4901" s="11"/>
    </row>
    <row r="4902" ht="12.75">
      <c r="D4902" s="11"/>
    </row>
    <row r="4903" ht="12.75">
      <c r="D4903" s="11"/>
    </row>
    <row r="4904" ht="12.75">
      <c r="D4904" s="11"/>
    </row>
    <row r="4905" ht="12.75">
      <c r="D4905" s="11"/>
    </row>
    <row r="4906" ht="12.75">
      <c r="D4906" s="11"/>
    </row>
    <row r="4907" ht="12.75">
      <c r="D4907" s="11"/>
    </row>
    <row r="4908" ht="12.75">
      <c r="D4908" s="11"/>
    </row>
    <row r="4909" ht="12.75">
      <c r="D4909" s="11"/>
    </row>
    <row r="4910" ht="12.75">
      <c r="D4910" s="11"/>
    </row>
    <row r="4911" ht="12.75">
      <c r="D4911" s="11"/>
    </row>
    <row r="4912" ht="12.75">
      <c r="D4912" s="11"/>
    </row>
    <row r="4913" ht="12.75">
      <c r="D4913" s="11"/>
    </row>
    <row r="4914" ht="12.75">
      <c r="D4914" s="11"/>
    </row>
    <row r="4915" ht="12.75">
      <c r="D4915" s="11"/>
    </row>
    <row r="4916" ht="12.75">
      <c r="D4916" s="11"/>
    </row>
    <row r="4917" ht="12.75">
      <c r="D4917" s="11"/>
    </row>
    <row r="4918" ht="12.75">
      <c r="D4918" s="11"/>
    </row>
    <row r="4919" ht="12.75">
      <c r="D4919" s="11"/>
    </row>
  </sheetData>
  <sheetProtection/>
  <mergeCells count="3">
    <mergeCell ref="A1:I1"/>
    <mergeCell ref="C2:I2"/>
    <mergeCell ref="C3:I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A1:K439"/>
  <sheetViews>
    <sheetView view="pageBreakPreview" zoomScale="70" zoomScaleNormal="85" zoomScaleSheetLayoutView="70" workbookViewId="0" topLeftCell="A1">
      <selection activeCell="A4" sqref="A4"/>
    </sheetView>
  </sheetViews>
  <sheetFormatPr defaultColWidth="9.00390625" defaultRowHeight="12.75"/>
  <cols>
    <col min="1" max="1" width="14.125" style="315" customWidth="1"/>
    <col min="2" max="2" width="54.00390625" style="280" customWidth="1"/>
    <col min="3" max="3" width="6.00390625" style="281" customWidth="1"/>
    <col min="4" max="4" width="10.25390625" style="281" customWidth="1"/>
    <col min="5" max="5" width="13.875" style="282" customWidth="1"/>
    <col min="6" max="6" width="18.00390625" style="283" customWidth="1"/>
    <col min="7" max="7" width="16.25390625" style="283" customWidth="1"/>
    <col min="8" max="8" width="15.00390625" style="283" customWidth="1"/>
    <col min="9" max="11" width="18.25390625" style="284" customWidth="1"/>
    <col min="12" max="16384" width="9.125" style="9" customWidth="1"/>
  </cols>
  <sheetData>
    <row r="1" spans="1:11" ht="18">
      <c r="A1" s="512" t="s">
        <v>1740</v>
      </c>
      <c r="B1" s="286" t="s">
        <v>181</v>
      </c>
      <c r="C1" s="287"/>
      <c r="D1" s="287"/>
      <c r="E1" s="288"/>
      <c r="F1" s="289"/>
      <c r="G1" s="290"/>
      <c r="H1" s="290"/>
      <c r="I1" s="291"/>
      <c r="J1" s="291"/>
      <c r="K1" s="291"/>
    </row>
    <row r="2" spans="1:11" ht="13.5" thickBot="1">
      <c r="A2" s="292"/>
      <c r="B2" s="232"/>
      <c r="C2" s="233"/>
      <c r="D2" s="233"/>
      <c r="E2" s="234"/>
      <c r="F2" s="235"/>
      <c r="G2" s="236"/>
      <c r="H2" s="236"/>
      <c r="I2" s="237"/>
      <c r="J2" s="237"/>
      <c r="K2" s="237"/>
    </row>
    <row r="3" spans="1:11" ht="12.75">
      <c r="A3" s="293"/>
      <c r="B3" s="294" t="s">
        <v>468</v>
      </c>
      <c r="C3" s="498"/>
      <c r="D3" s="498"/>
      <c r="E3" s="499"/>
      <c r="F3" s="500"/>
      <c r="G3" s="500"/>
      <c r="H3" s="500"/>
      <c r="I3" s="500"/>
      <c r="J3" s="500"/>
      <c r="K3" s="500"/>
    </row>
    <row r="4" spans="1:11" s="238" customFormat="1" ht="12.75">
      <c r="A4" s="295" t="s">
        <v>469</v>
      </c>
      <c r="B4" s="296" t="s">
        <v>470</v>
      </c>
      <c r="C4" s="501" t="s">
        <v>471</v>
      </c>
      <c r="D4" s="501" t="s">
        <v>176</v>
      </c>
      <c r="E4" s="502" t="s">
        <v>472</v>
      </c>
      <c r="F4" s="549" t="s">
        <v>473</v>
      </c>
      <c r="G4" s="502" t="s">
        <v>474</v>
      </c>
      <c r="H4" s="549" t="s">
        <v>475</v>
      </c>
      <c r="I4" s="503" t="s">
        <v>476</v>
      </c>
      <c r="J4" s="503" t="s">
        <v>476</v>
      </c>
      <c r="K4" s="503" t="s">
        <v>476</v>
      </c>
    </row>
    <row r="5" spans="1:11" s="238" customFormat="1" ht="13.5" thickBot="1">
      <c r="A5" s="297"/>
      <c r="B5" s="298"/>
      <c r="C5" s="504"/>
      <c r="D5" s="504"/>
      <c r="E5" s="505"/>
      <c r="F5" s="550"/>
      <c r="G5" s="505" t="s">
        <v>477</v>
      </c>
      <c r="H5" s="550"/>
      <c r="I5" s="506" t="s">
        <v>1732</v>
      </c>
      <c r="J5" s="506" t="s">
        <v>1733</v>
      </c>
      <c r="K5" s="506" t="s">
        <v>1734</v>
      </c>
    </row>
    <row r="6" spans="1:11" ht="15">
      <c r="A6" s="299"/>
      <c r="B6" s="300"/>
      <c r="C6" s="301"/>
      <c r="D6" s="301"/>
      <c r="E6" s="302"/>
      <c r="F6" s="303"/>
      <c r="G6" s="304"/>
      <c r="H6" s="304"/>
      <c r="I6" s="305"/>
      <c r="J6" s="305"/>
      <c r="K6" s="305"/>
    </row>
    <row r="7" spans="1:11" ht="20.25">
      <c r="A7" s="306"/>
      <c r="B7" s="491" t="s">
        <v>1106</v>
      </c>
      <c r="C7" s="240"/>
      <c r="D7" s="240"/>
      <c r="E7" s="241"/>
      <c r="F7" s="242"/>
      <c r="G7" s="243"/>
      <c r="H7" s="243"/>
      <c r="I7" s="244"/>
      <c r="J7" s="244"/>
      <c r="K7" s="244"/>
    </row>
    <row r="8" spans="1:11" ht="18">
      <c r="A8" s="306"/>
      <c r="B8" s="239"/>
      <c r="C8" s="240"/>
      <c r="D8" s="240"/>
      <c r="E8" s="241"/>
      <c r="F8" s="242"/>
      <c r="G8" s="243"/>
      <c r="H8" s="243"/>
      <c r="I8" s="244"/>
      <c r="J8" s="244"/>
      <c r="K8" s="244"/>
    </row>
    <row r="9" spans="1:11" ht="31.5">
      <c r="A9" s="307"/>
      <c r="B9" s="245" t="s">
        <v>478</v>
      </c>
      <c r="C9" s="246"/>
      <c r="D9" s="247"/>
      <c r="E9" s="248"/>
      <c r="F9" s="242"/>
      <c r="G9" s="243"/>
      <c r="H9" s="243"/>
      <c r="I9" s="249"/>
      <c r="J9" s="249"/>
      <c r="K9" s="249"/>
    </row>
    <row r="10" spans="1:11" ht="12.75">
      <c r="A10" s="307"/>
      <c r="B10" s="250"/>
      <c r="C10" s="246"/>
      <c r="D10" s="247"/>
      <c r="E10" s="248"/>
      <c r="F10" s="242"/>
      <c r="G10" s="243"/>
      <c r="H10" s="243"/>
      <c r="I10" s="249"/>
      <c r="J10" s="249"/>
      <c r="K10" s="249"/>
    </row>
    <row r="11" spans="1:11" s="255" customFormat="1" ht="89.25">
      <c r="A11" s="308" t="s">
        <v>479</v>
      </c>
      <c r="B11" s="251" t="s">
        <v>665</v>
      </c>
      <c r="C11" s="246" t="s">
        <v>25</v>
      </c>
      <c r="D11" s="247">
        <v>1</v>
      </c>
      <c r="E11" s="248">
        <v>0</v>
      </c>
      <c r="F11" s="248">
        <f>D11*E11</f>
        <v>0</v>
      </c>
      <c r="G11" s="252" t="s">
        <v>572</v>
      </c>
      <c r="H11" s="253">
        <f>(F11/100)*G11</f>
        <v>0</v>
      </c>
      <c r="I11" s="254">
        <f>F11+H11</f>
        <v>0</v>
      </c>
      <c r="J11" s="254">
        <v>0</v>
      </c>
      <c r="K11" s="254">
        <v>0</v>
      </c>
    </row>
    <row r="12" spans="1:11" s="255" customFormat="1" ht="12.75">
      <c r="A12" s="308"/>
      <c r="B12" s="251"/>
      <c r="C12" s="246"/>
      <c r="D12" s="247"/>
      <c r="E12" s="248"/>
      <c r="F12" s="248"/>
      <c r="G12" s="252"/>
      <c r="H12" s="253"/>
      <c r="I12" s="254"/>
      <c r="J12" s="254"/>
      <c r="K12" s="254"/>
    </row>
    <row r="13" spans="1:11" s="255" customFormat="1" ht="13.5" customHeight="1">
      <c r="A13" s="307"/>
      <c r="B13" s="256" t="s">
        <v>481</v>
      </c>
      <c r="C13" s="246"/>
      <c r="D13" s="247"/>
      <c r="E13" s="248"/>
      <c r="F13" s="242"/>
      <c r="G13" s="243"/>
      <c r="H13" s="243"/>
      <c r="I13" s="249"/>
      <c r="J13" s="249"/>
      <c r="K13" s="249"/>
    </row>
    <row r="14" spans="1:11" s="255" customFormat="1" ht="12.75">
      <c r="A14" s="308"/>
      <c r="B14" s="251"/>
      <c r="C14" s="246"/>
      <c r="D14" s="247"/>
      <c r="E14" s="248"/>
      <c r="F14" s="248"/>
      <c r="G14" s="252"/>
      <c r="H14" s="253"/>
      <c r="I14" s="254"/>
      <c r="J14" s="254"/>
      <c r="K14" s="254"/>
    </row>
    <row r="15" spans="1:11" s="255" customFormat="1" ht="12.75">
      <c r="A15" s="308"/>
      <c r="B15" s="251" t="s">
        <v>666</v>
      </c>
      <c r="C15" s="246" t="s">
        <v>25</v>
      </c>
      <c r="D15" s="247">
        <v>1</v>
      </c>
      <c r="E15" s="248">
        <v>0</v>
      </c>
      <c r="F15" s="242">
        <f>D15*E15</f>
        <v>0</v>
      </c>
      <c r="G15" s="252" t="s">
        <v>572</v>
      </c>
      <c r="H15" s="253">
        <f>(F15/100)*G15</f>
        <v>0</v>
      </c>
      <c r="I15" s="254">
        <f>F15+H15</f>
        <v>0</v>
      </c>
      <c r="J15" s="254">
        <v>0</v>
      </c>
      <c r="K15" s="254">
        <v>0</v>
      </c>
    </row>
    <row r="16" spans="1:11" s="255" customFormat="1" ht="12.75">
      <c r="A16" s="308"/>
      <c r="B16" s="251"/>
      <c r="C16" s="246"/>
      <c r="D16" s="247"/>
      <c r="E16" s="248"/>
      <c r="F16" s="248"/>
      <c r="G16" s="252"/>
      <c r="H16" s="253"/>
      <c r="I16" s="254"/>
      <c r="J16" s="254"/>
      <c r="K16" s="254"/>
    </row>
    <row r="17" spans="1:11" s="255" customFormat="1" ht="51">
      <c r="A17" s="308" t="s">
        <v>480</v>
      </c>
      <c r="B17" s="251" t="s">
        <v>667</v>
      </c>
      <c r="C17" s="246"/>
      <c r="D17" s="247"/>
      <c r="E17" s="248"/>
      <c r="F17" s="248"/>
      <c r="G17" s="252"/>
      <c r="H17" s="253"/>
      <c r="I17" s="254"/>
      <c r="J17" s="254"/>
      <c r="K17" s="254"/>
    </row>
    <row r="18" spans="1:11" s="255" customFormat="1" ht="25.5">
      <c r="A18" s="308"/>
      <c r="B18" s="251" t="s">
        <v>668</v>
      </c>
      <c r="C18" s="246" t="s">
        <v>25</v>
      </c>
      <c r="D18" s="247">
        <v>1</v>
      </c>
      <c r="E18" s="248">
        <v>0</v>
      </c>
      <c r="F18" s="248">
        <f>D18*E18</f>
        <v>0</v>
      </c>
      <c r="G18" s="252" t="s">
        <v>572</v>
      </c>
      <c r="H18" s="253">
        <f>(F18/100)*G18</f>
        <v>0</v>
      </c>
      <c r="I18" s="254">
        <f>F18+H18</f>
        <v>0</v>
      </c>
      <c r="J18" s="254">
        <v>0</v>
      </c>
      <c r="K18" s="254">
        <v>0</v>
      </c>
    </row>
    <row r="19" spans="1:11" s="255" customFormat="1" ht="25.5">
      <c r="A19" s="308"/>
      <c r="B19" s="251" t="s">
        <v>669</v>
      </c>
      <c r="C19" s="246" t="s">
        <v>25</v>
      </c>
      <c r="D19" s="247">
        <v>1</v>
      </c>
      <c r="E19" s="248">
        <v>0</v>
      </c>
      <c r="F19" s="248">
        <f>D19*E19</f>
        <v>0</v>
      </c>
      <c r="G19" s="252" t="s">
        <v>572</v>
      </c>
      <c r="H19" s="253">
        <f>(F19/100)*G19</f>
        <v>0</v>
      </c>
      <c r="I19" s="254">
        <f>F19+H19</f>
        <v>0</v>
      </c>
      <c r="J19" s="254">
        <v>0</v>
      </c>
      <c r="K19" s="254">
        <v>0</v>
      </c>
    </row>
    <row r="20" spans="1:11" s="255" customFormat="1" ht="12.75">
      <c r="A20" s="308"/>
      <c r="B20" s="251"/>
      <c r="C20" s="246"/>
      <c r="D20" s="247"/>
      <c r="E20" s="248"/>
      <c r="F20" s="248"/>
      <c r="G20" s="252"/>
      <c r="H20" s="253"/>
      <c r="I20" s="254"/>
      <c r="J20" s="254"/>
      <c r="K20" s="254"/>
    </row>
    <row r="21" spans="1:11" s="255" customFormat="1" ht="13.5" customHeight="1">
      <c r="A21" s="307"/>
      <c r="B21" s="256" t="s">
        <v>481</v>
      </c>
      <c r="C21" s="246"/>
      <c r="D21" s="247"/>
      <c r="E21" s="248"/>
      <c r="F21" s="242"/>
      <c r="G21" s="243"/>
      <c r="H21" s="243"/>
      <c r="I21" s="249"/>
      <c r="J21" s="249"/>
      <c r="K21" s="249"/>
    </row>
    <row r="22" spans="1:11" s="255" customFormat="1" ht="12.75">
      <c r="A22" s="308"/>
      <c r="B22" s="251"/>
      <c r="C22" s="246"/>
      <c r="D22" s="247"/>
      <c r="E22" s="248"/>
      <c r="F22" s="248"/>
      <c r="G22" s="252"/>
      <c r="H22" s="253"/>
      <c r="I22" s="254"/>
      <c r="J22" s="254"/>
      <c r="K22" s="254"/>
    </row>
    <row r="23" spans="1:11" s="255" customFormat="1" ht="12.75">
      <c r="A23" s="308"/>
      <c r="B23" s="251" t="s">
        <v>482</v>
      </c>
      <c r="C23" s="246"/>
      <c r="D23" s="247"/>
      <c r="E23" s="248"/>
      <c r="F23" s="242"/>
      <c r="G23" s="252"/>
      <c r="H23" s="253"/>
      <c r="I23" s="254"/>
      <c r="J23" s="254"/>
      <c r="K23" s="254"/>
    </row>
    <row r="24" spans="1:11" s="255" customFormat="1" ht="12.75">
      <c r="A24" s="308"/>
      <c r="B24" s="251" t="s">
        <v>670</v>
      </c>
      <c r="C24" s="246" t="s">
        <v>25</v>
      </c>
      <c r="D24" s="247">
        <v>2</v>
      </c>
      <c r="E24" s="248">
        <v>0</v>
      </c>
      <c r="F24" s="242">
        <f>D24*E24</f>
        <v>0</v>
      </c>
      <c r="G24" s="252" t="s">
        <v>572</v>
      </c>
      <c r="H24" s="253">
        <f>(F24/100)*G24</f>
        <v>0</v>
      </c>
      <c r="I24" s="254">
        <f>F24+H24</f>
        <v>0</v>
      </c>
      <c r="J24" s="254">
        <v>0</v>
      </c>
      <c r="K24" s="254">
        <v>0</v>
      </c>
    </row>
    <row r="25" spans="1:11" s="255" customFormat="1" ht="12.75">
      <c r="A25" s="308"/>
      <c r="B25" s="251"/>
      <c r="C25" s="246"/>
      <c r="D25" s="247"/>
      <c r="E25" s="248"/>
      <c r="F25" s="242"/>
      <c r="G25" s="252"/>
      <c r="H25" s="253"/>
      <c r="I25" s="254"/>
      <c r="J25" s="254"/>
      <c r="K25" s="254"/>
    </row>
    <row r="26" spans="1:11" s="255" customFormat="1" ht="12.75">
      <c r="A26" s="308"/>
      <c r="B26" s="251" t="s">
        <v>483</v>
      </c>
      <c r="C26" s="246" t="s">
        <v>182</v>
      </c>
      <c r="D26" s="247">
        <v>15</v>
      </c>
      <c r="E26" s="248">
        <v>0</v>
      </c>
      <c r="F26" s="248">
        <f>D26*E26</f>
        <v>0</v>
      </c>
      <c r="G26" s="252" t="s">
        <v>572</v>
      </c>
      <c r="H26" s="253">
        <f>(F26/100)*G26</f>
        <v>0</v>
      </c>
      <c r="I26" s="254">
        <f>F26+H26</f>
        <v>0</v>
      </c>
      <c r="J26" s="254">
        <v>0</v>
      </c>
      <c r="K26" s="254">
        <v>0</v>
      </c>
    </row>
    <row r="27" spans="1:11" s="255" customFormat="1" ht="12.75">
      <c r="A27" s="308"/>
      <c r="B27" s="251"/>
      <c r="C27" s="246"/>
      <c r="D27" s="247"/>
      <c r="E27" s="248"/>
      <c r="F27" s="248"/>
      <c r="G27" s="252"/>
      <c r="H27" s="253"/>
      <c r="I27" s="254"/>
      <c r="J27" s="254"/>
      <c r="K27" s="254"/>
    </row>
    <row r="28" spans="1:11" s="255" customFormat="1" ht="12.75">
      <c r="A28" s="308"/>
      <c r="B28" s="250" t="s">
        <v>570</v>
      </c>
      <c r="C28" s="246"/>
      <c r="D28" s="247"/>
      <c r="E28" s="248"/>
      <c r="F28" s="242"/>
      <c r="G28" s="252"/>
      <c r="H28" s="253"/>
      <c r="I28" s="254"/>
      <c r="J28" s="254"/>
      <c r="K28" s="254"/>
    </row>
    <row r="29" spans="1:11" ht="12.75">
      <c r="A29" s="307"/>
      <c r="B29" s="250"/>
      <c r="C29" s="246"/>
      <c r="D29" s="247"/>
      <c r="E29" s="248"/>
      <c r="F29" s="242"/>
      <c r="G29" s="243"/>
      <c r="H29" s="243"/>
      <c r="I29" s="249"/>
      <c r="J29" s="249"/>
      <c r="K29" s="249"/>
    </row>
    <row r="30" spans="1:11" s="255" customFormat="1" ht="25.5">
      <c r="A30" s="308"/>
      <c r="B30" s="265" t="s">
        <v>571</v>
      </c>
      <c r="C30" s="246" t="s">
        <v>57</v>
      </c>
      <c r="D30" s="247">
        <v>1</v>
      </c>
      <c r="E30" s="248">
        <v>0</v>
      </c>
      <c r="F30" s="242">
        <f>D30*E30</f>
        <v>0</v>
      </c>
      <c r="G30" s="252" t="s">
        <v>572</v>
      </c>
      <c r="H30" s="253">
        <f>(F30/100)*G30</f>
        <v>0</v>
      </c>
      <c r="I30" s="254">
        <f>F30+H30</f>
        <v>0</v>
      </c>
      <c r="J30" s="254">
        <v>0</v>
      </c>
      <c r="K30" s="254">
        <v>0</v>
      </c>
    </row>
    <row r="31" spans="1:11" s="255" customFormat="1" ht="12.75">
      <c r="A31" s="308"/>
      <c r="B31" s="251"/>
      <c r="C31" s="246"/>
      <c r="D31" s="247"/>
      <c r="E31" s="248"/>
      <c r="F31" s="248"/>
      <c r="G31" s="252"/>
      <c r="H31" s="253"/>
      <c r="I31" s="254"/>
      <c r="J31" s="254"/>
      <c r="K31" s="254"/>
    </row>
    <row r="32" spans="1:11" s="255" customFormat="1" ht="12.75">
      <c r="A32" s="308" t="s">
        <v>484</v>
      </c>
      <c r="B32" s="251" t="s">
        <v>485</v>
      </c>
      <c r="C32" s="246" t="s">
        <v>25</v>
      </c>
      <c r="D32" s="247">
        <v>2</v>
      </c>
      <c r="E32" s="248">
        <v>0</v>
      </c>
      <c r="F32" s="248">
        <f>D32*E32</f>
        <v>0</v>
      </c>
      <c r="G32" s="252" t="s">
        <v>572</v>
      </c>
      <c r="H32" s="253">
        <f>(F32/100)*G32</f>
        <v>0</v>
      </c>
      <c r="I32" s="254">
        <f>F32+H32</f>
        <v>0</v>
      </c>
      <c r="J32" s="254">
        <v>0</v>
      </c>
      <c r="K32" s="254">
        <v>0</v>
      </c>
    </row>
    <row r="33" spans="1:11" s="255" customFormat="1" ht="12.75">
      <c r="A33" s="308"/>
      <c r="B33" s="251"/>
      <c r="C33" s="246"/>
      <c r="D33" s="247"/>
      <c r="E33" s="248"/>
      <c r="F33" s="248"/>
      <c r="G33" s="252"/>
      <c r="H33" s="253"/>
      <c r="I33" s="254"/>
      <c r="J33" s="254"/>
      <c r="K33" s="254"/>
    </row>
    <row r="34" spans="1:11" s="255" customFormat="1" ht="25.5">
      <c r="A34" s="308" t="s">
        <v>486</v>
      </c>
      <c r="B34" s="251" t="s">
        <v>487</v>
      </c>
      <c r="C34" s="246" t="s">
        <v>25</v>
      </c>
      <c r="D34" s="247">
        <v>10</v>
      </c>
      <c r="E34" s="248">
        <v>0</v>
      </c>
      <c r="F34" s="248">
        <f>D34*E34</f>
        <v>0</v>
      </c>
      <c r="G34" s="252" t="s">
        <v>572</v>
      </c>
      <c r="H34" s="253">
        <f>(F34/100)*G34</f>
        <v>0</v>
      </c>
      <c r="I34" s="254">
        <f>F34+H34</f>
        <v>0</v>
      </c>
      <c r="J34" s="254">
        <v>0</v>
      </c>
      <c r="K34" s="254">
        <v>0</v>
      </c>
    </row>
    <row r="35" spans="1:11" s="255" customFormat="1" ht="12.75">
      <c r="A35" s="308"/>
      <c r="B35" s="251"/>
      <c r="C35" s="246"/>
      <c r="D35" s="247"/>
      <c r="E35" s="248"/>
      <c r="F35" s="248"/>
      <c r="G35" s="252"/>
      <c r="H35" s="253"/>
      <c r="I35" s="254"/>
      <c r="J35" s="254"/>
      <c r="K35" s="254"/>
    </row>
    <row r="36" spans="1:11" s="255" customFormat="1" ht="12.75">
      <c r="A36" s="308" t="s">
        <v>488</v>
      </c>
      <c r="B36" s="251" t="s">
        <v>671</v>
      </c>
      <c r="C36" s="246" t="s">
        <v>25</v>
      </c>
      <c r="D36" s="247">
        <v>2</v>
      </c>
      <c r="E36" s="248">
        <v>0</v>
      </c>
      <c r="F36" s="248">
        <f>D36*E36</f>
        <v>0</v>
      </c>
      <c r="G36" s="252" t="s">
        <v>572</v>
      </c>
      <c r="H36" s="253">
        <f>(F36/100)*G36</f>
        <v>0</v>
      </c>
      <c r="I36" s="254">
        <f>F36+H36</f>
        <v>0</v>
      </c>
      <c r="J36" s="254">
        <v>0</v>
      </c>
      <c r="K36" s="254">
        <v>0</v>
      </c>
    </row>
    <row r="37" spans="1:11" s="255" customFormat="1" ht="12.75">
      <c r="A37" s="308"/>
      <c r="B37" s="251"/>
      <c r="C37" s="246"/>
      <c r="D37" s="247"/>
      <c r="E37" s="248"/>
      <c r="F37" s="248"/>
      <c r="G37" s="252"/>
      <c r="H37" s="253"/>
      <c r="I37" s="254"/>
      <c r="J37" s="254"/>
      <c r="K37" s="254"/>
    </row>
    <row r="38" spans="1:11" s="255" customFormat="1" ht="25.5">
      <c r="A38" s="308" t="s">
        <v>489</v>
      </c>
      <c r="B38" s="251" t="s">
        <v>672</v>
      </c>
      <c r="C38" s="246" t="s">
        <v>25</v>
      </c>
      <c r="D38" s="247">
        <v>2</v>
      </c>
      <c r="E38" s="248">
        <v>0</v>
      </c>
      <c r="F38" s="242">
        <f>D38*E38</f>
        <v>0</v>
      </c>
      <c r="G38" s="252" t="s">
        <v>572</v>
      </c>
      <c r="H38" s="253">
        <f>(F38/100)*G38</f>
        <v>0</v>
      </c>
      <c r="I38" s="254">
        <f>F38+H38</f>
        <v>0</v>
      </c>
      <c r="J38" s="254">
        <v>0</v>
      </c>
      <c r="K38" s="254">
        <v>0</v>
      </c>
    </row>
    <row r="39" spans="1:11" s="255" customFormat="1" ht="12.75">
      <c r="A39" s="308"/>
      <c r="B39" s="251"/>
      <c r="C39" s="246"/>
      <c r="D39" s="247"/>
      <c r="E39" s="248"/>
      <c r="F39" s="248"/>
      <c r="G39" s="252"/>
      <c r="H39" s="253"/>
      <c r="I39" s="254"/>
      <c r="J39" s="254"/>
      <c r="K39" s="254"/>
    </row>
    <row r="40" spans="1:11" s="255" customFormat="1" ht="25.5">
      <c r="A40" s="308" t="s">
        <v>490</v>
      </c>
      <c r="B40" s="251" t="s">
        <v>673</v>
      </c>
      <c r="C40" s="246" t="s">
        <v>25</v>
      </c>
      <c r="D40" s="247">
        <v>3</v>
      </c>
      <c r="E40" s="248">
        <v>0</v>
      </c>
      <c r="F40" s="242">
        <f>D40*E40</f>
        <v>0</v>
      </c>
      <c r="G40" s="252" t="s">
        <v>572</v>
      </c>
      <c r="H40" s="253">
        <f>(F40/100)*G40</f>
        <v>0</v>
      </c>
      <c r="I40" s="254">
        <f>F40+H40</f>
        <v>0</v>
      </c>
      <c r="J40" s="254">
        <v>0</v>
      </c>
      <c r="K40" s="254">
        <v>0</v>
      </c>
    </row>
    <row r="41" spans="1:11" s="255" customFormat="1" ht="12.75">
      <c r="A41" s="308"/>
      <c r="B41" s="251"/>
      <c r="C41" s="246"/>
      <c r="D41" s="247"/>
      <c r="E41" s="248"/>
      <c r="F41" s="242"/>
      <c r="G41" s="252"/>
      <c r="H41" s="253"/>
      <c r="I41" s="254"/>
      <c r="J41" s="254"/>
      <c r="K41" s="254"/>
    </row>
    <row r="42" spans="1:11" s="255" customFormat="1" ht="25.5">
      <c r="A42" s="308" t="s">
        <v>491</v>
      </c>
      <c r="B42" s="251" t="s">
        <v>674</v>
      </c>
      <c r="C42" s="246" t="s">
        <v>25</v>
      </c>
      <c r="D42" s="247">
        <v>2</v>
      </c>
      <c r="E42" s="248">
        <v>0</v>
      </c>
      <c r="F42" s="248">
        <f>D42*E42</f>
        <v>0</v>
      </c>
      <c r="G42" s="252" t="s">
        <v>572</v>
      </c>
      <c r="H42" s="253">
        <f>(F42/100)*G42</f>
        <v>0</v>
      </c>
      <c r="I42" s="254">
        <f>F42+H42</f>
        <v>0</v>
      </c>
      <c r="J42" s="254">
        <v>0</v>
      </c>
      <c r="K42" s="254">
        <v>0</v>
      </c>
    </row>
    <row r="43" spans="1:11" s="255" customFormat="1" ht="12.75">
      <c r="A43" s="308"/>
      <c r="B43" s="251"/>
      <c r="C43" s="246"/>
      <c r="D43" s="247"/>
      <c r="E43" s="248"/>
      <c r="F43" s="242"/>
      <c r="G43" s="252"/>
      <c r="H43" s="253"/>
      <c r="I43" s="254"/>
      <c r="J43" s="254"/>
      <c r="K43" s="254"/>
    </row>
    <row r="44" spans="1:11" s="255" customFormat="1" ht="25.5">
      <c r="A44" s="308" t="s">
        <v>492</v>
      </c>
      <c r="B44" s="251" t="s">
        <v>675</v>
      </c>
      <c r="C44" s="246" t="s">
        <v>25</v>
      </c>
      <c r="D44" s="247">
        <v>4</v>
      </c>
      <c r="E44" s="248">
        <v>0</v>
      </c>
      <c r="F44" s="248">
        <f>D44*E44</f>
        <v>0</v>
      </c>
      <c r="G44" s="252" t="s">
        <v>572</v>
      </c>
      <c r="H44" s="253">
        <f>(F44/100)*G44</f>
        <v>0</v>
      </c>
      <c r="I44" s="254">
        <f>F44+H44</f>
        <v>0</v>
      </c>
      <c r="J44" s="254">
        <v>0</v>
      </c>
      <c r="K44" s="254">
        <v>0</v>
      </c>
    </row>
    <row r="45" spans="1:11" s="255" customFormat="1" ht="12.75">
      <c r="A45" s="308"/>
      <c r="B45" s="251"/>
      <c r="C45" s="246"/>
      <c r="D45" s="247"/>
      <c r="E45" s="248"/>
      <c r="F45" s="242"/>
      <c r="G45" s="252"/>
      <c r="H45" s="253"/>
      <c r="I45" s="254"/>
      <c r="J45" s="254"/>
      <c r="K45" s="254"/>
    </row>
    <row r="46" spans="1:11" s="255" customFormat="1" ht="25.5">
      <c r="A46" s="308" t="s">
        <v>493</v>
      </c>
      <c r="B46" s="251" t="s">
        <v>676</v>
      </c>
      <c r="C46" s="246" t="s">
        <v>25</v>
      </c>
      <c r="D46" s="247">
        <v>4</v>
      </c>
      <c r="E46" s="248">
        <v>0</v>
      </c>
      <c r="F46" s="248">
        <f>D46*E46</f>
        <v>0</v>
      </c>
      <c r="G46" s="252" t="s">
        <v>572</v>
      </c>
      <c r="H46" s="253">
        <f>(F46/100)*G46</f>
        <v>0</v>
      </c>
      <c r="I46" s="254">
        <f>F46+H46</f>
        <v>0</v>
      </c>
      <c r="J46" s="254">
        <v>0</v>
      </c>
      <c r="K46" s="254">
        <v>0</v>
      </c>
    </row>
    <row r="47" spans="1:11" s="255" customFormat="1" ht="12.75">
      <c r="A47" s="308"/>
      <c r="B47" s="251"/>
      <c r="C47" s="246"/>
      <c r="D47" s="247"/>
      <c r="E47" s="248"/>
      <c r="F47" s="242"/>
      <c r="G47" s="252"/>
      <c r="H47" s="253"/>
      <c r="I47" s="254"/>
      <c r="J47" s="254"/>
      <c r="K47" s="254"/>
    </row>
    <row r="48" spans="1:11" s="255" customFormat="1" ht="25.5">
      <c r="A48" s="308" t="s">
        <v>494</v>
      </c>
      <c r="B48" s="251" t="s">
        <v>677</v>
      </c>
      <c r="C48" s="246" t="s">
        <v>25</v>
      </c>
      <c r="D48" s="247">
        <v>6</v>
      </c>
      <c r="E48" s="248">
        <v>0</v>
      </c>
      <c r="F48" s="248">
        <f>D48*E48</f>
        <v>0</v>
      </c>
      <c r="G48" s="252" t="s">
        <v>572</v>
      </c>
      <c r="H48" s="253">
        <f>(F48/100)*G48</f>
        <v>0</v>
      </c>
      <c r="I48" s="254">
        <f>F48+H48</f>
        <v>0</v>
      </c>
      <c r="J48" s="254">
        <v>0</v>
      </c>
      <c r="K48" s="254">
        <v>0</v>
      </c>
    </row>
    <row r="49" spans="1:11" s="255" customFormat="1" ht="12.75">
      <c r="A49" s="308"/>
      <c r="B49" s="251"/>
      <c r="C49" s="246"/>
      <c r="D49" s="247"/>
      <c r="E49" s="248"/>
      <c r="F49" s="242"/>
      <c r="G49" s="252"/>
      <c r="H49" s="253"/>
      <c r="I49" s="254"/>
      <c r="J49" s="254"/>
      <c r="K49" s="254"/>
    </row>
    <row r="50" spans="1:11" s="255" customFormat="1" ht="25.5">
      <c r="A50" s="308" t="s">
        <v>495</v>
      </c>
      <c r="B50" s="251" t="s">
        <v>678</v>
      </c>
      <c r="C50" s="246" t="s">
        <v>25</v>
      </c>
      <c r="D50" s="247">
        <v>2</v>
      </c>
      <c r="E50" s="248">
        <v>0</v>
      </c>
      <c r="F50" s="248">
        <f>D50*E50</f>
        <v>0</v>
      </c>
      <c r="G50" s="252" t="s">
        <v>572</v>
      </c>
      <c r="H50" s="253">
        <f>(F50/100)*G50</f>
        <v>0</v>
      </c>
      <c r="I50" s="254">
        <f>F50+H50</f>
        <v>0</v>
      </c>
      <c r="J50" s="254">
        <v>0</v>
      </c>
      <c r="K50" s="254">
        <v>0</v>
      </c>
    </row>
    <row r="51" spans="1:11" s="255" customFormat="1" ht="12.75">
      <c r="A51" s="308"/>
      <c r="B51" s="251"/>
      <c r="C51" s="246"/>
      <c r="D51" s="247"/>
      <c r="E51" s="248"/>
      <c r="F51" s="242"/>
      <c r="G51" s="252"/>
      <c r="H51" s="253"/>
      <c r="I51" s="254"/>
      <c r="J51" s="254"/>
      <c r="K51" s="254"/>
    </row>
    <row r="52" spans="1:11" s="255" customFormat="1" ht="25.5">
      <c r="A52" s="308" t="s">
        <v>679</v>
      </c>
      <c r="B52" s="251" t="s">
        <v>680</v>
      </c>
      <c r="C52" s="246" t="s">
        <v>25</v>
      </c>
      <c r="D52" s="247">
        <v>5</v>
      </c>
      <c r="E52" s="248">
        <v>0</v>
      </c>
      <c r="F52" s="248">
        <f>D52*E52</f>
        <v>0</v>
      </c>
      <c r="G52" s="252" t="s">
        <v>572</v>
      </c>
      <c r="H52" s="253">
        <f>(F52/100)*G52</f>
        <v>0</v>
      </c>
      <c r="I52" s="254">
        <f>F52+H52</f>
        <v>0</v>
      </c>
      <c r="J52" s="254">
        <v>0</v>
      </c>
      <c r="K52" s="254">
        <v>0</v>
      </c>
    </row>
    <row r="53" spans="1:11" s="255" customFormat="1" ht="12.75">
      <c r="A53" s="308"/>
      <c r="B53" s="251"/>
      <c r="C53" s="246"/>
      <c r="D53" s="247"/>
      <c r="E53" s="248"/>
      <c r="F53" s="242"/>
      <c r="G53" s="252"/>
      <c r="H53" s="253"/>
      <c r="I53" s="254"/>
      <c r="J53" s="254"/>
      <c r="K53" s="254"/>
    </row>
    <row r="54" spans="1:11" s="255" customFormat="1" ht="25.5">
      <c r="A54" s="308" t="s">
        <v>681</v>
      </c>
      <c r="B54" s="251" t="s">
        <v>682</v>
      </c>
      <c r="C54" s="246" t="s">
        <v>25</v>
      </c>
      <c r="D54" s="247">
        <v>2</v>
      </c>
      <c r="E54" s="248">
        <v>0</v>
      </c>
      <c r="F54" s="248">
        <f>D54*E54</f>
        <v>0</v>
      </c>
      <c r="G54" s="252" t="s">
        <v>572</v>
      </c>
      <c r="H54" s="253">
        <f>(F54/100)*G54</f>
        <v>0</v>
      </c>
      <c r="I54" s="254">
        <f>F54+H54</f>
        <v>0</v>
      </c>
      <c r="J54" s="254">
        <v>0</v>
      </c>
      <c r="K54" s="254">
        <v>0</v>
      </c>
    </row>
    <row r="55" spans="1:11" s="255" customFormat="1" ht="12.75">
      <c r="A55" s="308"/>
      <c r="B55" s="251"/>
      <c r="C55" s="246"/>
      <c r="D55" s="247"/>
      <c r="E55" s="248"/>
      <c r="F55" s="242"/>
      <c r="G55" s="252"/>
      <c r="H55" s="253"/>
      <c r="I55" s="254"/>
      <c r="J55" s="254"/>
      <c r="K55" s="254"/>
    </row>
    <row r="56" spans="1:11" s="255" customFormat="1" ht="38.25">
      <c r="A56" s="308" t="s">
        <v>683</v>
      </c>
      <c r="B56" s="251" t="s">
        <v>684</v>
      </c>
      <c r="C56" s="246" t="s">
        <v>25</v>
      </c>
      <c r="D56" s="247">
        <v>1</v>
      </c>
      <c r="E56" s="248">
        <v>0</v>
      </c>
      <c r="F56" s="242">
        <f>D56*E56</f>
        <v>0</v>
      </c>
      <c r="G56" s="252" t="s">
        <v>572</v>
      </c>
      <c r="H56" s="253">
        <f>(F56/100)*G56</f>
        <v>0</v>
      </c>
      <c r="I56" s="254">
        <f>F56+H56</f>
        <v>0</v>
      </c>
      <c r="J56" s="254">
        <v>0</v>
      </c>
      <c r="K56" s="254">
        <v>0</v>
      </c>
    </row>
    <row r="57" spans="1:11" s="255" customFormat="1" ht="12.75">
      <c r="A57" s="308"/>
      <c r="B57" s="251"/>
      <c r="C57" s="246"/>
      <c r="D57" s="247"/>
      <c r="E57" s="248"/>
      <c r="F57" s="242"/>
      <c r="G57" s="252"/>
      <c r="H57" s="253"/>
      <c r="I57" s="254"/>
      <c r="J57" s="254"/>
      <c r="K57" s="254"/>
    </row>
    <row r="58" spans="1:11" s="255" customFormat="1" ht="38.25">
      <c r="A58" s="308" t="s">
        <v>685</v>
      </c>
      <c r="B58" s="251" t="s">
        <v>686</v>
      </c>
      <c r="C58" s="246" t="s">
        <v>25</v>
      </c>
      <c r="D58" s="247">
        <v>1</v>
      </c>
      <c r="E58" s="248">
        <v>0</v>
      </c>
      <c r="F58" s="242">
        <f>D58*E58</f>
        <v>0</v>
      </c>
      <c r="G58" s="252" t="s">
        <v>572</v>
      </c>
      <c r="H58" s="253">
        <f>(F58/100)*G58</f>
        <v>0</v>
      </c>
      <c r="I58" s="254">
        <f>F58+H58</f>
        <v>0</v>
      </c>
      <c r="J58" s="254">
        <v>0</v>
      </c>
      <c r="K58" s="254">
        <v>0</v>
      </c>
    </row>
    <row r="59" spans="1:11" s="255" customFormat="1" ht="12.75">
      <c r="A59" s="308"/>
      <c r="B59" s="251"/>
      <c r="C59" s="246"/>
      <c r="D59" s="247"/>
      <c r="E59" s="248"/>
      <c r="F59" s="242"/>
      <c r="G59" s="252"/>
      <c r="H59" s="253"/>
      <c r="I59" s="254"/>
      <c r="J59" s="254"/>
      <c r="K59" s="254"/>
    </row>
    <row r="60" spans="1:11" s="255" customFormat="1" ht="12.75">
      <c r="A60" s="307"/>
      <c r="B60" s="251" t="s">
        <v>497</v>
      </c>
      <c r="C60" s="246"/>
      <c r="D60" s="247"/>
      <c r="E60" s="248"/>
      <c r="F60" s="242"/>
      <c r="G60" s="243"/>
      <c r="H60" s="243"/>
      <c r="I60" s="249"/>
      <c r="J60" s="249"/>
      <c r="K60" s="249"/>
    </row>
    <row r="61" spans="1:11" s="255" customFormat="1" ht="15.75">
      <c r="A61" s="309"/>
      <c r="B61" s="258" t="s">
        <v>498</v>
      </c>
      <c r="C61" s="259" t="s">
        <v>57</v>
      </c>
      <c r="D61" s="260">
        <v>1</v>
      </c>
      <c r="E61" s="261"/>
      <c r="F61" s="262">
        <f>SUM(F10:F60)</f>
        <v>0</v>
      </c>
      <c r="G61" s="263"/>
      <c r="H61" s="263">
        <f>SUM(H11:H60)</f>
        <v>0</v>
      </c>
      <c r="I61" s="264">
        <f>SUM(I9:I60)</f>
        <v>0</v>
      </c>
      <c r="J61" s="264">
        <f>SUM(J9:J60)</f>
        <v>0</v>
      </c>
      <c r="K61" s="264">
        <f>SUM(K9:K60)</f>
        <v>0</v>
      </c>
    </row>
    <row r="62" spans="1:11" s="255" customFormat="1" ht="12.75">
      <c r="A62" s="309"/>
      <c r="B62" s="251"/>
      <c r="C62" s="246"/>
      <c r="D62" s="247"/>
      <c r="E62" s="248"/>
      <c r="F62" s="242"/>
      <c r="G62" s="243"/>
      <c r="H62" s="243"/>
      <c r="I62" s="249"/>
      <c r="J62" s="249"/>
      <c r="K62" s="249"/>
    </row>
    <row r="63" spans="1:11" ht="15.75">
      <c r="A63" s="307"/>
      <c r="B63" s="245" t="s">
        <v>499</v>
      </c>
      <c r="C63" s="246"/>
      <c r="D63" s="247"/>
      <c r="E63" s="248"/>
      <c r="F63" s="242"/>
      <c r="G63" s="243"/>
      <c r="H63" s="243"/>
      <c r="I63" s="249"/>
      <c r="J63" s="249"/>
      <c r="K63" s="249"/>
    </row>
    <row r="64" spans="1:11" s="255" customFormat="1" ht="12.75">
      <c r="A64" s="308"/>
      <c r="B64" s="251"/>
      <c r="C64" s="246"/>
      <c r="D64" s="247"/>
      <c r="E64" s="248"/>
      <c r="F64" s="248"/>
      <c r="G64" s="252"/>
      <c r="H64" s="253"/>
      <c r="I64" s="254"/>
      <c r="J64" s="254"/>
      <c r="K64" s="254"/>
    </row>
    <row r="65" spans="1:11" s="255" customFormat="1" ht="89.25">
      <c r="A65" s="308" t="s">
        <v>500</v>
      </c>
      <c r="B65" s="251" t="s">
        <v>687</v>
      </c>
      <c r="C65" s="246" t="s">
        <v>25</v>
      </c>
      <c r="D65" s="247">
        <v>1</v>
      </c>
      <c r="E65" s="248">
        <v>0</v>
      </c>
      <c r="F65" s="248">
        <f>D65*E65</f>
        <v>0</v>
      </c>
      <c r="G65" s="252" t="s">
        <v>572</v>
      </c>
      <c r="H65" s="253">
        <f>(F65/100)*G65</f>
        <v>0</v>
      </c>
      <c r="I65" s="254">
        <f>F65+H65</f>
        <v>0</v>
      </c>
      <c r="J65" s="254">
        <v>0</v>
      </c>
      <c r="K65" s="254">
        <v>0</v>
      </c>
    </row>
    <row r="66" spans="1:11" s="255" customFormat="1" ht="12.75">
      <c r="A66" s="308"/>
      <c r="B66" s="251"/>
      <c r="C66" s="246"/>
      <c r="D66" s="247"/>
      <c r="E66" s="248"/>
      <c r="F66" s="248"/>
      <c r="G66" s="252"/>
      <c r="H66" s="253"/>
      <c r="I66" s="254"/>
      <c r="J66" s="254"/>
      <c r="K66" s="254"/>
    </row>
    <row r="67" spans="1:11" s="255" customFormat="1" ht="13.5" customHeight="1">
      <c r="A67" s="307"/>
      <c r="B67" s="256" t="s">
        <v>481</v>
      </c>
      <c r="C67" s="246"/>
      <c r="D67" s="247"/>
      <c r="E67" s="248"/>
      <c r="F67" s="242"/>
      <c r="G67" s="243"/>
      <c r="H67" s="243"/>
      <c r="I67" s="249"/>
      <c r="J67" s="249"/>
      <c r="K67" s="249"/>
    </row>
    <row r="68" spans="1:11" s="255" customFormat="1" ht="12.75">
      <c r="A68" s="308"/>
      <c r="B68" s="251"/>
      <c r="C68" s="246"/>
      <c r="D68" s="247"/>
      <c r="E68" s="248"/>
      <c r="F68" s="248"/>
      <c r="G68" s="252"/>
      <c r="H68" s="253"/>
      <c r="I68" s="254"/>
      <c r="J68" s="254"/>
      <c r="K68" s="254"/>
    </row>
    <row r="69" spans="1:11" s="255" customFormat="1" ht="12.75">
      <c r="A69" s="308"/>
      <c r="B69" s="251" t="s">
        <v>666</v>
      </c>
      <c r="C69" s="246" t="s">
        <v>25</v>
      </c>
      <c r="D69" s="247">
        <v>1</v>
      </c>
      <c r="E69" s="248">
        <v>0</v>
      </c>
      <c r="F69" s="242">
        <f>D69*E69</f>
        <v>0</v>
      </c>
      <c r="G69" s="252" t="s">
        <v>572</v>
      </c>
      <c r="H69" s="253">
        <f>(F69/100)*G69</f>
        <v>0</v>
      </c>
      <c r="I69" s="254">
        <f>F69+H69</f>
        <v>0</v>
      </c>
      <c r="J69" s="254">
        <v>0</v>
      </c>
      <c r="K69" s="254">
        <v>0</v>
      </c>
    </row>
    <row r="70" spans="1:11" s="255" customFormat="1" ht="12.75">
      <c r="A70" s="308"/>
      <c r="B70" s="251"/>
      <c r="C70" s="246"/>
      <c r="D70" s="247"/>
      <c r="E70" s="248"/>
      <c r="F70" s="248"/>
      <c r="G70" s="252"/>
      <c r="H70" s="253"/>
      <c r="I70" s="254"/>
      <c r="J70" s="254"/>
      <c r="K70" s="254"/>
    </row>
    <row r="71" spans="1:11" s="255" customFormat="1" ht="38.25">
      <c r="A71" s="308" t="s">
        <v>501</v>
      </c>
      <c r="B71" s="251" t="s">
        <v>688</v>
      </c>
      <c r="C71" s="246"/>
      <c r="D71" s="247"/>
      <c r="E71" s="248"/>
      <c r="F71" s="248"/>
      <c r="G71" s="252"/>
      <c r="H71" s="253"/>
      <c r="I71" s="254"/>
      <c r="J71" s="254"/>
      <c r="K71" s="254"/>
    </row>
    <row r="72" spans="1:11" s="255" customFormat="1" ht="12.75">
      <c r="A72" s="308"/>
      <c r="B72" s="251" t="s">
        <v>689</v>
      </c>
      <c r="C72" s="246" t="s">
        <v>25</v>
      </c>
      <c r="D72" s="247">
        <v>1</v>
      </c>
      <c r="E72" s="248">
        <v>0</v>
      </c>
      <c r="F72" s="248">
        <f>D72*E72</f>
        <v>0</v>
      </c>
      <c r="G72" s="252" t="s">
        <v>572</v>
      </c>
      <c r="H72" s="253">
        <f>(F72/100)*G72</f>
        <v>0</v>
      </c>
      <c r="I72" s="254">
        <f>F72+H72</f>
        <v>0</v>
      </c>
      <c r="J72" s="254">
        <v>0</v>
      </c>
      <c r="K72" s="254">
        <v>0</v>
      </c>
    </row>
    <row r="73" spans="1:11" s="255" customFormat="1" ht="12.75">
      <c r="A73" s="308"/>
      <c r="B73" s="251"/>
      <c r="C73" s="246"/>
      <c r="D73" s="247"/>
      <c r="E73" s="248"/>
      <c r="F73" s="248"/>
      <c r="G73" s="252"/>
      <c r="H73" s="253"/>
      <c r="I73" s="254"/>
      <c r="J73" s="254"/>
      <c r="K73" s="254"/>
    </row>
    <row r="74" spans="1:11" s="255" customFormat="1" ht="13.5" customHeight="1">
      <c r="A74" s="307"/>
      <c r="B74" s="256" t="s">
        <v>481</v>
      </c>
      <c r="C74" s="246"/>
      <c r="D74" s="247"/>
      <c r="E74" s="248"/>
      <c r="F74" s="242"/>
      <c r="G74" s="243"/>
      <c r="H74" s="243"/>
      <c r="I74" s="249"/>
      <c r="J74" s="249"/>
      <c r="K74" s="249"/>
    </row>
    <row r="75" spans="1:11" s="255" customFormat="1" ht="12.75">
      <c r="A75" s="308"/>
      <c r="B75" s="251"/>
      <c r="C75" s="246"/>
      <c r="D75" s="247"/>
      <c r="E75" s="248"/>
      <c r="F75" s="248"/>
      <c r="G75" s="252"/>
      <c r="H75" s="253"/>
      <c r="I75" s="254"/>
      <c r="J75" s="254"/>
      <c r="K75" s="254"/>
    </row>
    <row r="76" spans="1:11" s="255" customFormat="1" ht="12.75">
      <c r="A76" s="308"/>
      <c r="B76" s="251" t="s">
        <v>482</v>
      </c>
      <c r="C76" s="246"/>
      <c r="D76" s="247"/>
      <c r="E76" s="248"/>
      <c r="F76" s="242"/>
      <c r="G76" s="252"/>
      <c r="H76" s="253"/>
      <c r="I76" s="254"/>
      <c r="J76" s="254"/>
      <c r="K76" s="254"/>
    </row>
    <row r="77" spans="1:11" s="255" customFormat="1" ht="12.75">
      <c r="A77" s="308"/>
      <c r="B77" s="251" t="s">
        <v>670</v>
      </c>
      <c r="C77" s="246" t="s">
        <v>25</v>
      </c>
      <c r="D77" s="247">
        <v>1</v>
      </c>
      <c r="E77" s="248">
        <v>0</v>
      </c>
      <c r="F77" s="242">
        <f>D77*E77</f>
        <v>0</v>
      </c>
      <c r="G77" s="252" t="s">
        <v>572</v>
      </c>
      <c r="H77" s="253">
        <f>(F77/100)*G77</f>
        <v>0</v>
      </c>
      <c r="I77" s="254">
        <f>F77+H77</f>
        <v>0</v>
      </c>
      <c r="J77" s="254">
        <v>0</v>
      </c>
      <c r="K77" s="254">
        <v>0</v>
      </c>
    </row>
    <row r="78" spans="1:11" s="255" customFormat="1" ht="12.75">
      <c r="A78" s="308"/>
      <c r="B78" s="251"/>
      <c r="C78" s="246"/>
      <c r="D78" s="247"/>
      <c r="E78" s="248"/>
      <c r="F78" s="242"/>
      <c r="G78" s="252"/>
      <c r="H78" s="253"/>
      <c r="I78" s="254"/>
      <c r="J78" s="254"/>
      <c r="K78" s="254"/>
    </row>
    <row r="79" spans="1:11" s="255" customFormat="1" ht="12.75">
      <c r="A79" s="308"/>
      <c r="B79" s="251" t="s">
        <v>483</v>
      </c>
      <c r="C79" s="246" t="s">
        <v>182</v>
      </c>
      <c r="D79" s="247">
        <v>15</v>
      </c>
      <c r="E79" s="248">
        <v>0</v>
      </c>
      <c r="F79" s="248">
        <f>D79*E79</f>
        <v>0</v>
      </c>
      <c r="G79" s="252" t="s">
        <v>572</v>
      </c>
      <c r="H79" s="253">
        <f>(F79/100)*G79</f>
        <v>0</v>
      </c>
      <c r="I79" s="254">
        <f>F79+H79</f>
        <v>0</v>
      </c>
      <c r="J79" s="254">
        <v>0</v>
      </c>
      <c r="K79" s="254">
        <v>0</v>
      </c>
    </row>
    <row r="80" spans="1:11" s="255" customFormat="1" ht="12.75">
      <c r="A80" s="308"/>
      <c r="B80" s="251"/>
      <c r="C80" s="246"/>
      <c r="D80" s="247"/>
      <c r="E80" s="248"/>
      <c r="F80" s="248"/>
      <c r="G80" s="252"/>
      <c r="H80" s="253"/>
      <c r="I80" s="254"/>
      <c r="J80" s="254"/>
      <c r="K80" s="254"/>
    </row>
    <row r="81" spans="1:11" s="255" customFormat="1" ht="12.75">
      <c r="A81" s="308"/>
      <c r="B81" s="250" t="s">
        <v>570</v>
      </c>
      <c r="C81" s="246"/>
      <c r="D81" s="247"/>
      <c r="E81" s="248"/>
      <c r="F81" s="242"/>
      <c r="G81" s="252"/>
      <c r="H81" s="253"/>
      <c r="I81" s="254"/>
      <c r="J81" s="254"/>
      <c r="K81" s="254"/>
    </row>
    <row r="82" spans="1:11" ht="12.75">
      <c r="A82" s="307"/>
      <c r="B82" s="250"/>
      <c r="C82" s="246"/>
      <c r="D82" s="247"/>
      <c r="E82" s="248"/>
      <c r="F82" s="242"/>
      <c r="G82" s="243"/>
      <c r="H82" s="243"/>
      <c r="I82" s="249"/>
      <c r="J82" s="249"/>
      <c r="K82" s="249"/>
    </row>
    <row r="83" spans="1:11" s="255" customFormat="1" ht="25.5">
      <c r="A83" s="308"/>
      <c r="B83" s="265" t="s">
        <v>571</v>
      </c>
      <c r="C83" s="246" t="s">
        <v>57</v>
      </c>
      <c r="D83" s="247">
        <v>1</v>
      </c>
      <c r="E83" s="248">
        <v>0</v>
      </c>
      <c r="F83" s="242">
        <f>D83*E83</f>
        <v>0</v>
      </c>
      <c r="G83" s="252" t="s">
        <v>572</v>
      </c>
      <c r="H83" s="253">
        <f>(F83/100)*G83</f>
        <v>0</v>
      </c>
      <c r="I83" s="254">
        <f>F83+H83</f>
        <v>0</v>
      </c>
      <c r="J83" s="254">
        <v>0</v>
      </c>
      <c r="K83" s="254">
        <v>0</v>
      </c>
    </row>
    <row r="84" spans="1:11" s="255" customFormat="1" ht="12.75">
      <c r="A84" s="308"/>
      <c r="B84" s="251"/>
      <c r="C84" s="246"/>
      <c r="D84" s="247"/>
      <c r="E84" s="248"/>
      <c r="F84" s="248"/>
      <c r="G84" s="252"/>
      <c r="H84" s="253"/>
      <c r="I84" s="254"/>
      <c r="J84" s="254"/>
      <c r="K84" s="254"/>
    </row>
    <row r="85" spans="1:11" s="255" customFormat="1" ht="12.75">
      <c r="A85" s="308" t="s">
        <v>502</v>
      </c>
      <c r="B85" s="251" t="s">
        <v>485</v>
      </c>
      <c r="C85" s="246" t="s">
        <v>25</v>
      </c>
      <c r="D85" s="247">
        <v>1</v>
      </c>
      <c r="E85" s="248">
        <v>0</v>
      </c>
      <c r="F85" s="248">
        <f>D85*E85</f>
        <v>0</v>
      </c>
      <c r="G85" s="252" t="s">
        <v>572</v>
      </c>
      <c r="H85" s="253">
        <f>(F85/100)*G85</f>
        <v>0</v>
      </c>
      <c r="I85" s="254">
        <f>F85+H85</f>
        <v>0</v>
      </c>
      <c r="J85" s="254">
        <v>0</v>
      </c>
      <c r="K85" s="254">
        <v>0</v>
      </c>
    </row>
    <row r="86" spans="1:11" s="255" customFormat="1" ht="12.75">
      <c r="A86" s="308"/>
      <c r="B86" s="251"/>
      <c r="C86" s="246"/>
      <c r="D86" s="247"/>
      <c r="E86" s="248"/>
      <c r="F86" s="248"/>
      <c r="G86" s="252"/>
      <c r="H86" s="253"/>
      <c r="I86" s="254"/>
      <c r="J86" s="254"/>
      <c r="K86" s="254"/>
    </row>
    <row r="87" spans="1:11" s="255" customFormat="1" ht="25.5">
      <c r="A87" s="308" t="s">
        <v>690</v>
      </c>
      <c r="B87" s="251" t="s">
        <v>691</v>
      </c>
      <c r="C87" s="246" t="s">
        <v>25</v>
      </c>
      <c r="D87" s="247">
        <v>1</v>
      </c>
      <c r="E87" s="248">
        <v>0</v>
      </c>
      <c r="F87" s="248">
        <f>D87*E87</f>
        <v>0</v>
      </c>
      <c r="G87" s="252" t="s">
        <v>572</v>
      </c>
      <c r="H87" s="253">
        <f>(F87/100)*G87</f>
        <v>0</v>
      </c>
      <c r="I87" s="254">
        <f>F87+H87</f>
        <v>0</v>
      </c>
      <c r="J87" s="254">
        <v>0</v>
      </c>
      <c r="K87" s="254">
        <v>0</v>
      </c>
    </row>
    <row r="88" spans="1:11" s="255" customFormat="1" ht="12.75">
      <c r="A88" s="308"/>
      <c r="B88" s="251"/>
      <c r="C88" s="246"/>
      <c r="D88" s="247"/>
      <c r="E88" s="248"/>
      <c r="F88" s="248"/>
      <c r="G88" s="252"/>
      <c r="H88" s="253"/>
      <c r="I88" s="254"/>
      <c r="J88" s="254"/>
      <c r="K88" s="254"/>
    </row>
    <row r="89" spans="1:11" s="255" customFormat="1" ht="25.5">
      <c r="A89" s="308" t="s">
        <v>503</v>
      </c>
      <c r="B89" s="251" t="s">
        <v>692</v>
      </c>
      <c r="C89" s="246" t="s">
        <v>25</v>
      </c>
      <c r="D89" s="247">
        <v>8</v>
      </c>
      <c r="E89" s="248">
        <v>0</v>
      </c>
      <c r="F89" s="248">
        <f>D89*E89</f>
        <v>0</v>
      </c>
      <c r="G89" s="252" t="s">
        <v>572</v>
      </c>
      <c r="H89" s="253">
        <f>(F89/100)*G89</f>
        <v>0</v>
      </c>
      <c r="I89" s="254">
        <f>F89+H89</f>
        <v>0</v>
      </c>
      <c r="J89" s="254">
        <v>0</v>
      </c>
      <c r="K89" s="254">
        <v>0</v>
      </c>
    </row>
    <row r="90" spans="1:11" s="255" customFormat="1" ht="12.75">
      <c r="A90" s="308"/>
      <c r="B90" s="251"/>
      <c r="C90" s="246"/>
      <c r="D90" s="247"/>
      <c r="E90" s="248"/>
      <c r="F90" s="248"/>
      <c r="G90" s="252"/>
      <c r="H90" s="253"/>
      <c r="I90" s="254"/>
      <c r="J90" s="254"/>
      <c r="K90" s="254"/>
    </row>
    <row r="91" spans="1:11" s="255" customFormat="1" ht="25.5">
      <c r="A91" s="308" t="s">
        <v>504</v>
      </c>
      <c r="B91" s="251" t="s">
        <v>693</v>
      </c>
      <c r="C91" s="246" t="s">
        <v>25</v>
      </c>
      <c r="D91" s="247">
        <v>10</v>
      </c>
      <c r="E91" s="248">
        <v>0</v>
      </c>
      <c r="F91" s="242">
        <f>D91*E91</f>
        <v>0</v>
      </c>
      <c r="G91" s="252" t="s">
        <v>572</v>
      </c>
      <c r="H91" s="253">
        <f>(F91/100)*G91</f>
        <v>0</v>
      </c>
      <c r="I91" s="254">
        <f>F91+H91</f>
        <v>0</v>
      </c>
      <c r="J91" s="254">
        <v>0</v>
      </c>
      <c r="K91" s="254">
        <v>0</v>
      </c>
    </row>
    <row r="92" spans="1:11" s="255" customFormat="1" ht="12.75">
      <c r="A92" s="308"/>
      <c r="B92" s="251"/>
      <c r="C92" s="246"/>
      <c r="D92" s="247"/>
      <c r="E92" s="248"/>
      <c r="F92" s="242"/>
      <c r="G92" s="252"/>
      <c r="H92" s="253"/>
      <c r="I92" s="254"/>
      <c r="J92" s="254"/>
      <c r="K92" s="254"/>
    </row>
    <row r="93" spans="1:11" s="255" customFormat="1" ht="25.5">
      <c r="A93" s="308"/>
      <c r="B93" s="251" t="s">
        <v>694</v>
      </c>
      <c r="C93" s="246" t="s">
        <v>25</v>
      </c>
      <c r="D93" s="247">
        <v>10</v>
      </c>
      <c r="E93" s="248">
        <v>0</v>
      </c>
      <c r="F93" s="242">
        <f>D93*E93</f>
        <v>0</v>
      </c>
      <c r="G93" s="252" t="s">
        <v>572</v>
      </c>
      <c r="H93" s="253">
        <f>(F93/100)*G93</f>
        <v>0</v>
      </c>
      <c r="I93" s="254">
        <f>F93+H93</f>
        <v>0</v>
      </c>
      <c r="J93" s="254">
        <v>0</v>
      </c>
      <c r="K93" s="254">
        <v>0</v>
      </c>
    </row>
    <row r="94" spans="1:11" s="255" customFormat="1" ht="12.75">
      <c r="A94" s="308"/>
      <c r="B94" s="251"/>
      <c r="C94" s="246"/>
      <c r="D94" s="247"/>
      <c r="E94" s="248"/>
      <c r="F94" s="248"/>
      <c r="G94" s="252"/>
      <c r="H94" s="253"/>
      <c r="I94" s="254"/>
      <c r="J94" s="254"/>
      <c r="K94" s="254"/>
    </row>
    <row r="95" spans="1:11" s="255" customFormat="1" ht="25.5">
      <c r="A95" s="308" t="s">
        <v>505</v>
      </c>
      <c r="B95" s="251" t="s">
        <v>695</v>
      </c>
      <c r="C95" s="246" t="s">
        <v>25</v>
      </c>
      <c r="D95" s="247">
        <v>5</v>
      </c>
      <c r="E95" s="248">
        <v>0</v>
      </c>
      <c r="F95" s="248">
        <f>D95*E95</f>
        <v>0</v>
      </c>
      <c r="G95" s="252" t="s">
        <v>572</v>
      </c>
      <c r="H95" s="253">
        <f>(F95/100)*G95</f>
        <v>0</v>
      </c>
      <c r="I95" s="254">
        <f>F95+H95</f>
        <v>0</v>
      </c>
      <c r="J95" s="254">
        <v>0</v>
      </c>
      <c r="K95" s="254">
        <v>0</v>
      </c>
    </row>
    <row r="96" spans="1:11" s="255" customFormat="1" ht="12.75">
      <c r="A96" s="308"/>
      <c r="B96" s="251"/>
      <c r="C96" s="246"/>
      <c r="D96" s="247"/>
      <c r="E96" s="248"/>
      <c r="F96" s="248"/>
      <c r="G96" s="252"/>
      <c r="H96" s="253"/>
      <c r="I96" s="254"/>
      <c r="J96" s="254"/>
      <c r="K96" s="254"/>
    </row>
    <row r="97" spans="1:11" s="255" customFormat="1" ht="25.5">
      <c r="A97" s="308" t="s">
        <v>506</v>
      </c>
      <c r="B97" s="251" t="s">
        <v>696</v>
      </c>
      <c r="C97" s="246" t="s">
        <v>25</v>
      </c>
      <c r="D97" s="247">
        <v>7</v>
      </c>
      <c r="E97" s="248">
        <v>0</v>
      </c>
      <c r="F97" s="248">
        <f>D97*E97</f>
        <v>0</v>
      </c>
      <c r="G97" s="252" t="s">
        <v>572</v>
      </c>
      <c r="H97" s="253">
        <f>(F97/100)*G97</f>
        <v>0</v>
      </c>
      <c r="I97" s="254">
        <f>F97+H97</f>
        <v>0</v>
      </c>
      <c r="J97" s="254">
        <v>0</v>
      </c>
      <c r="K97" s="254">
        <v>0</v>
      </c>
    </row>
    <row r="98" spans="1:11" s="255" customFormat="1" ht="12.75">
      <c r="A98" s="308"/>
      <c r="B98" s="251"/>
      <c r="C98" s="246"/>
      <c r="D98" s="247"/>
      <c r="E98" s="248"/>
      <c r="F98" s="248"/>
      <c r="G98" s="252"/>
      <c r="H98" s="253"/>
      <c r="I98" s="254"/>
      <c r="J98" s="254"/>
      <c r="K98" s="254"/>
    </row>
    <row r="99" spans="1:11" s="255" customFormat="1" ht="12.75">
      <c r="A99" s="308" t="s">
        <v>507</v>
      </c>
      <c r="B99" s="251" t="s">
        <v>697</v>
      </c>
      <c r="C99" s="246" t="s">
        <v>25</v>
      </c>
      <c r="D99" s="247">
        <v>2</v>
      </c>
      <c r="E99" s="248">
        <v>0</v>
      </c>
      <c r="F99" s="248">
        <f>D99*E99</f>
        <v>0</v>
      </c>
      <c r="G99" s="252" t="s">
        <v>572</v>
      </c>
      <c r="H99" s="253">
        <f>(F99/100)*G99</f>
        <v>0</v>
      </c>
      <c r="I99" s="254">
        <f>F99+H99</f>
        <v>0</v>
      </c>
      <c r="J99" s="254">
        <v>0</v>
      </c>
      <c r="K99" s="254">
        <v>0</v>
      </c>
    </row>
    <row r="100" spans="1:11" s="255" customFormat="1" ht="12.75">
      <c r="A100" s="308"/>
      <c r="B100" s="251"/>
      <c r="C100" s="246"/>
      <c r="D100" s="247"/>
      <c r="E100" s="248"/>
      <c r="F100" s="248"/>
      <c r="G100" s="252"/>
      <c r="H100" s="253"/>
      <c r="I100" s="254"/>
      <c r="J100" s="254"/>
      <c r="K100" s="254"/>
    </row>
    <row r="101" spans="1:11" s="255" customFormat="1" ht="25.5">
      <c r="A101" s="308" t="s">
        <v>508</v>
      </c>
      <c r="B101" s="251" t="s">
        <v>698</v>
      </c>
      <c r="C101" s="246" t="s">
        <v>25</v>
      </c>
      <c r="D101" s="247">
        <v>6</v>
      </c>
      <c r="E101" s="248">
        <v>0</v>
      </c>
      <c r="F101" s="248">
        <f>D101*E101</f>
        <v>0</v>
      </c>
      <c r="G101" s="252" t="s">
        <v>572</v>
      </c>
      <c r="H101" s="253">
        <f>(F101/100)*G101</f>
        <v>0</v>
      </c>
      <c r="I101" s="254">
        <f>F101+H101</f>
        <v>0</v>
      </c>
      <c r="J101" s="254">
        <v>0</v>
      </c>
      <c r="K101" s="254">
        <v>0</v>
      </c>
    </row>
    <row r="102" spans="1:11" s="255" customFormat="1" ht="12.75">
      <c r="A102" s="308"/>
      <c r="B102" s="251"/>
      <c r="C102" s="246"/>
      <c r="D102" s="247"/>
      <c r="E102" s="248"/>
      <c r="F102" s="248"/>
      <c r="G102" s="252"/>
      <c r="H102" s="253"/>
      <c r="I102" s="254"/>
      <c r="J102" s="254"/>
      <c r="K102" s="254"/>
    </row>
    <row r="103" spans="1:11" s="255" customFormat="1" ht="25.5">
      <c r="A103" s="308" t="s">
        <v>509</v>
      </c>
      <c r="B103" s="251" t="s">
        <v>699</v>
      </c>
      <c r="C103" s="246" t="s">
        <v>25</v>
      </c>
      <c r="D103" s="247">
        <v>1</v>
      </c>
      <c r="E103" s="248">
        <v>0</v>
      </c>
      <c r="F103" s="248">
        <f>D103*E103</f>
        <v>0</v>
      </c>
      <c r="G103" s="252" t="s">
        <v>572</v>
      </c>
      <c r="H103" s="253">
        <f>(F103/100)*G103</f>
        <v>0</v>
      </c>
      <c r="I103" s="254">
        <f>F103+H103</f>
        <v>0</v>
      </c>
      <c r="J103" s="254">
        <v>0</v>
      </c>
      <c r="K103" s="254">
        <v>0</v>
      </c>
    </row>
    <row r="104" spans="1:11" s="255" customFormat="1" ht="12" customHeight="1">
      <c r="A104" s="308"/>
      <c r="B104" s="251"/>
      <c r="C104" s="246"/>
      <c r="D104" s="247"/>
      <c r="E104" s="248"/>
      <c r="F104" s="248"/>
      <c r="G104" s="252"/>
      <c r="H104" s="253"/>
      <c r="I104" s="254"/>
      <c r="J104" s="254"/>
      <c r="K104" s="254"/>
    </row>
    <row r="105" spans="1:11" s="255" customFormat="1" ht="12.75">
      <c r="A105" s="308" t="s">
        <v>700</v>
      </c>
      <c r="B105" t="s">
        <v>701</v>
      </c>
      <c r="C105" s="246" t="s">
        <v>25</v>
      </c>
      <c r="D105" s="247">
        <v>1</v>
      </c>
      <c r="E105" s="248">
        <v>0</v>
      </c>
      <c r="F105" s="242">
        <f>D105*E105</f>
        <v>0</v>
      </c>
      <c r="G105" s="252" t="s">
        <v>572</v>
      </c>
      <c r="H105" s="253">
        <f>(F105/100)*G105</f>
        <v>0</v>
      </c>
      <c r="I105" s="254">
        <f>F105+H105</f>
        <v>0</v>
      </c>
      <c r="J105" s="254">
        <v>0</v>
      </c>
      <c r="K105" s="254">
        <v>0</v>
      </c>
    </row>
    <row r="106" spans="1:11" s="255" customFormat="1" ht="12.75">
      <c r="A106" s="308"/>
      <c r="B106" s="251"/>
      <c r="C106" s="246"/>
      <c r="D106" s="247"/>
      <c r="E106" s="248"/>
      <c r="F106" s="248"/>
      <c r="G106" s="252"/>
      <c r="H106" s="253"/>
      <c r="I106" s="254"/>
      <c r="J106" s="254"/>
      <c r="K106" s="254"/>
    </row>
    <row r="107" spans="1:11" s="255" customFormat="1" ht="12.75">
      <c r="A107" s="307"/>
      <c r="B107" s="251" t="s">
        <v>497</v>
      </c>
      <c r="C107" s="246"/>
      <c r="D107" s="247"/>
      <c r="E107" s="248"/>
      <c r="F107" s="242"/>
      <c r="G107" s="243"/>
      <c r="H107" s="243"/>
      <c r="I107" s="249"/>
      <c r="J107" s="249"/>
      <c r="K107" s="249"/>
    </row>
    <row r="108" spans="1:11" s="255" customFormat="1" ht="15.75">
      <c r="A108" s="309"/>
      <c r="B108" s="258" t="s">
        <v>510</v>
      </c>
      <c r="C108" s="259" t="s">
        <v>57</v>
      </c>
      <c r="D108" s="260">
        <v>1</v>
      </c>
      <c r="E108" s="261"/>
      <c r="F108" s="262">
        <f>SUM(F64:F107)</f>
        <v>0</v>
      </c>
      <c r="G108" s="263"/>
      <c r="H108" s="263">
        <f>SUM(H64:H107)</f>
        <v>0</v>
      </c>
      <c r="I108" s="264">
        <f>SUM(I63:I107)</f>
        <v>0</v>
      </c>
      <c r="J108" s="264">
        <f>SUM(J63:J107)</f>
        <v>0</v>
      </c>
      <c r="K108" s="264">
        <f>SUM(K63:K107)</f>
        <v>0</v>
      </c>
    </row>
    <row r="109" spans="1:11" s="255" customFormat="1" ht="12.75">
      <c r="A109" s="309"/>
      <c r="B109" s="251"/>
      <c r="C109" s="246"/>
      <c r="D109" s="247"/>
      <c r="E109" s="248"/>
      <c r="F109" s="242"/>
      <c r="G109" s="243"/>
      <c r="H109" s="243"/>
      <c r="I109" s="249"/>
      <c r="J109" s="249"/>
      <c r="K109" s="249"/>
    </row>
    <row r="110" spans="1:11" ht="47.25">
      <c r="A110" s="307"/>
      <c r="B110" s="245" t="s">
        <v>511</v>
      </c>
      <c r="C110" s="246"/>
      <c r="D110" s="247"/>
      <c r="E110" s="248"/>
      <c r="F110" s="242"/>
      <c r="G110" s="243"/>
      <c r="H110" s="243"/>
      <c r="I110" s="249"/>
      <c r="J110" s="249"/>
      <c r="K110" s="249"/>
    </row>
    <row r="111" spans="1:11" s="255" customFormat="1" ht="12.75">
      <c r="A111" s="308"/>
      <c r="B111" s="251"/>
      <c r="C111" s="246"/>
      <c r="D111" s="247"/>
      <c r="E111" s="248"/>
      <c r="F111" s="248"/>
      <c r="G111" s="252"/>
      <c r="H111" s="253"/>
      <c r="I111" s="254"/>
      <c r="J111" s="254"/>
      <c r="K111" s="254"/>
    </row>
    <row r="112" spans="1:11" s="255" customFormat="1" ht="89.25">
      <c r="A112" s="308" t="s">
        <v>512</v>
      </c>
      <c r="B112" s="251" t="s">
        <v>702</v>
      </c>
      <c r="C112" s="246" t="s">
        <v>25</v>
      </c>
      <c r="D112" s="247">
        <v>1</v>
      </c>
      <c r="E112" s="248">
        <v>0</v>
      </c>
      <c r="F112" s="248">
        <f>D112*E112</f>
        <v>0</v>
      </c>
      <c r="G112" s="252" t="s">
        <v>572</v>
      </c>
      <c r="H112" s="253">
        <f>(F112/100)*G112</f>
        <v>0</v>
      </c>
      <c r="I112" s="254">
        <f>F112+H112</f>
        <v>0</v>
      </c>
      <c r="J112" s="254">
        <v>0</v>
      </c>
      <c r="K112" s="254">
        <v>0</v>
      </c>
    </row>
    <row r="113" spans="1:11" s="255" customFormat="1" ht="12.75">
      <c r="A113" s="308"/>
      <c r="B113" s="251"/>
      <c r="C113" s="246"/>
      <c r="D113" s="247"/>
      <c r="E113" s="248"/>
      <c r="F113" s="248"/>
      <c r="G113" s="252"/>
      <c r="H113" s="253"/>
      <c r="I113" s="254"/>
      <c r="J113" s="254"/>
      <c r="K113" s="254"/>
    </row>
    <row r="114" spans="1:11" s="255" customFormat="1" ht="13.5" customHeight="1">
      <c r="A114" s="307"/>
      <c r="B114" s="256" t="s">
        <v>481</v>
      </c>
      <c r="C114" s="246"/>
      <c r="D114" s="247"/>
      <c r="E114" s="248"/>
      <c r="F114" s="242"/>
      <c r="G114" s="243"/>
      <c r="H114" s="243"/>
      <c r="I114" s="249"/>
      <c r="J114" s="249"/>
      <c r="K114" s="249"/>
    </row>
    <row r="115" spans="1:11" s="255" customFormat="1" ht="12.75">
      <c r="A115" s="308"/>
      <c r="B115" s="251"/>
      <c r="C115" s="246"/>
      <c r="D115" s="247"/>
      <c r="E115" s="248"/>
      <c r="F115" s="248"/>
      <c r="G115" s="252"/>
      <c r="H115" s="253"/>
      <c r="I115" s="254"/>
      <c r="J115" s="254"/>
      <c r="K115" s="254"/>
    </row>
    <row r="116" spans="1:11" s="255" customFormat="1" ht="12.75">
      <c r="A116" s="308"/>
      <c r="B116" s="251" t="s">
        <v>666</v>
      </c>
      <c r="C116" s="246" t="s">
        <v>25</v>
      </c>
      <c r="D116" s="247">
        <v>1</v>
      </c>
      <c r="E116" s="248">
        <v>0</v>
      </c>
      <c r="F116" s="242">
        <f>D116*E116</f>
        <v>0</v>
      </c>
      <c r="G116" s="252" t="s">
        <v>572</v>
      </c>
      <c r="H116" s="253">
        <f>(F116/100)*G116</f>
        <v>0</v>
      </c>
      <c r="I116" s="254">
        <f>F116+H116</f>
        <v>0</v>
      </c>
      <c r="J116" s="254">
        <v>0</v>
      </c>
      <c r="K116" s="254">
        <v>0</v>
      </c>
    </row>
    <row r="117" spans="1:11" s="255" customFormat="1" ht="12.75">
      <c r="A117" s="308"/>
      <c r="B117" s="251"/>
      <c r="C117" s="246"/>
      <c r="D117" s="247"/>
      <c r="E117" s="248"/>
      <c r="F117" s="248"/>
      <c r="G117" s="252"/>
      <c r="H117" s="253"/>
      <c r="I117" s="254"/>
      <c r="J117" s="254"/>
      <c r="K117" s="254"/>
    </row>
    <row r="118" spans="1:11" s="255" customFormat="1" ht="38.25">
      <c r="A118" s="308" t="s">
        <v>513</v>
      </c>
      <c r="B118" s="251" t="s">
        <v>688</v>
      </c>
      <c r="C118" s="246"/>
      <c r="D118" s="247"/>
      <c r="E118" s="248"/>
      <c r="F118" s="248"/>
      <c r="G118" s="252"/>
      <c r="H118" s="253"/>
      <c r="I118" s="254"/>
      <c r="J118" s="254"/>
      <c r="K118" s="254"/>
    </row>
    <row r="119" spans="1:11" s="255" customFormat="1" ht="12.75">
      <c r="A119" s="308"/>
      <c r="B119" s="251" t="s">
        <v>689</v>
      </c>
      <c r="C119" s="246" t="s">
        <v>25</v>
      </c>
      <c r="D119" s="247">
        <v>1</v>
      </c>
      <c r="E119" s="248">
        <v>0</v>
      </c>
      <c r="F119" s="248">
        <f>D119*E119</f>
        <v>0</v>
      </c>
      <c r="G119" s="252" t="s">
        <v>572</v>
      </c>
      <c r="H119" s="253">
        <f>(F119/100)*G119</f>
        <v>0</v>
      </c>
      <c r="I119" s="254">
        <f>F119+H119</f>
        <v>0</v>
      </c>
      <c r="J119" s="254">
        <v>0</v>
      </c>
      <c r="K119" s="254">
        <v>0</v>
      </c>
    </row>
    <row r="120" spans="1:11" s="255" customFormat="1" ht="12.75">
      <c r="A120" s="308"/>
      <c r="B120" s="251"/>
      <c r="C120" s="246"/>
      <c r="D120" s="247"/>
      <c r="E120" s="248"/>
      <c r="F120" s="248"/>
      <c r="G120" s="252"/>
      <c r="H120" s="253"/>
      <c r="I120" s="254"/>
      <c r="J120" s="254"/>
      <c r="K120" s="254"/>
    </row>
    <row r="121" spans="1:11" s="255" customFormat="1" ht="13.5" customHeight="1">
      <c r="A121" s="307"/>
      <c r="B121" s="256" t="s">
        <v>481</v>
      </c>
      <c r="C121" s="246"/>
      <c r="D121" s="247"/>
      <c r="E121" s="248"/>
      <c r="F121" s="242"/>
      <c r="G121" s="243"/>
      <c r="H121" s="243"/>
      <c r="I121" s="249"/>
      <c r="J121" s="249"/>
      <c r="K121" s="249"/>
    </row>
    <row r="122" spans="1:11" s="255" customFormat="1" ht="12.75">
      <c r="A122" s="308"/>
      <c r="B122" s="251"/>
      <c r="C122" s="246"/>
      <c r="D122" s="247"/>
      <c r="E122" s="248"/>
      <c r="F122" s="248"/>
      <c r="G122" s="252"/>
      <c r="H122" s="253"/>
      <c r="I122" s="254"/>
      <c r="J122" s="254"/>
      <c r="K122" s="254"/>
    </row>
    <row r="123" spans="1:11" s="255" customFormat="1" ht="12.75">
      <c r="A123" s="308"/>
      <c r="B123" s="251" t="s">
        <v>482</v>
      </c>
      <c r="C123" s="246"/>
      <c r="D123" s="247"/>
      <c r="E123" s="248"/>
      <c r="F123" s="242"/>
      <c r="G123" s="252"/>
      <c r="H123" s="253"/>
      <c r="I123" s="254"/>
      <c r="J123" s="254"/>
      <c r="K123" s="254"/>
    </row>
    <row r="124" spans="1:11" s="255" customFormat="1" ht="12.75">
      <c r="A124" s="308"/>
      <c r="B124" s="251" t="s">
        <v>670</v>
      </c>
      <c r="C124" s="246" t="s">
        <v>25</v>
      </c>
      <c r="D124" s="247">
        <v>1</v>
      </c>
      <c r="E124" s="248">
        <v>0</v>
      </c>
      <c r="F124" s="242">
        <f>D124*E124</f>
        <v>0</v>
      </c>
      <c r="G124" s="252" t="s">
        <v>572</v>
      </c>
      <c r="H124" s="253">
        <f>(F124/100)*G124</f>
        <v>0</v>
      </c>
      <c r="I124" s="254">
        <f>F124+H124</f>
        <v>0</v>
      </c>
      <c r="J124" s="254">
        <v>0</v>
      </c>
      <c r="K124" s="254">
        <v>0</v>
      </c>
    </row>
    <row r="125" spans="1:11" s="255" customFormat="1" ht="12.75">
      <c r="A125" s="308"/>
      <c r="B125" s="251"/>
      <c r="C125" s="246"/>
      <c r="D125" s="247"/>
      <c r="E125" s="248"/>
      <c r="F125" s="242"/>
      <c r="G125" s="252"/>
      <c r="H125" s="253"/>
      <c r="I125" s="254"/>
      <c r="J125" s="254"/>
      <c r="K125" s="254"/>
    </row>
    <row r="126" spans="1:11" s="255" customFormat="1" ht="12.75">
      <c r="A126" s="308"/>
      <c r="B126" s="251" t="s">
        <v>483</v>
      </c>
      <c r="C126" s="246" t="s">
        <v>182</v>
      </c>
      <c r="D126" s="247">
        <v>25</v>
      </c>
      <c r="E126" s="248">
        <v>0</v>
      </c>
      <c r="F126" s="248">
        <f>D126*E126</f>
        <v>0</v>
      </c>
      <c r="G126" s="252" t="s">
        <v>572</v>
      </c>
      <c r="H126" s="253">
        <f>(F126/100)*G126</f>
        <v>0</v>
      </c>
      <c r="I126" s="254">
        <f>F126+H126</f>
        <v>0</v>
      </c>
      <c r="J126" s="254">
        <v>0</v>
      </c>
      <c r="K126" s="254">
        <v>0</v>
      </c>
    </row>
    <row r="127" spans="1:11" s="255" customFormat="1" ht="12.75">
      <c r="A127" s="308"/>
      <c r="B127" s="251"/>
      <c r="C127" s="246"/>
      <c r="D127" s="247"/>
      <c r="E127" s="248"/>
      <c r="F127" s="248"/>
      <c r="G127" s="252"/>
      <c r="H127" s="253"/>
      <c r="I127" s="254"/>
      <c r="J127" s="254"/>
      <c r="K127" s="254"/>
    </row>
    <row r="128" spans="1:11" s="255" customFormat="1" ht="12.75">
      <c r="A128" s="308"/>
      <c r="B128" s="250" t="s">
        <v>570</v>
      </c>
      <c r="C128" s="246"/>
      <c r="D128" s="247"/>
      <c r="E128" s="248"/>
      <c r="F128" s="242"/>
      <c r="G128" s="252"/>
      <c r="H128" s="253"/>
      <c r="I128" s="254"/>
      <c r="J128" s="254"/>
      <c r="K128" s="254"/>
    </row>
    <row r="129" spans="1:11" ht="12.75">
      <c r="A129" s="307"/>
      <c r="B129" s="250"/>
      <c r="C129" s="246"/>
      <c r="D129" s="247"/>
      <c r="E129" s="248"/>
      <c r="F129" s="242"/>
      <c r="G129" s="243"/>
      <c r="H129" s="243"/>
      <c r="I129" s="249"/>
      <c r="J129" s="249"/>
      <c r="K129" s="249"/>
    </row>
    <row r="130" spans="1:11" s="255" customFormat="1" ht="25.5">
      <c r="A130" s="308"/>
      <c r="B130" s="265" t="s">
        <v>571</v>
      </c>
      <c r="C130" s="246" t="s">
        <v>57</v>
      </c>
      <c r="D130" s="247">
        <v>1</v>
      </c>
      <c r="E130" s="248">
        <v>0</v>
      </c>
      <c r="F130" s="242">
        <f>D130*E130</f>
        <v>0</v>
      </c>
      <c r="G130" s="252" t="s">
        <v>572</v>
      </c>
      <c r="H130" s="253">
        <f>(F130/100)*G130</f>
        <v>0</v>
      </c>
      <c r="I130" s="254">
        <f>F130+H130</f>
        <v>0</v>
      </c>
      <c r="J130" s="254">
        <v>0</v>
      </c>
      <c r="K130" s="254">
        <v>0</v>
      </c>
    </row>
    <row r="131" spans="1:11" s="255" customFormat="1" ht="12" customHeight="1">
      <c r="A131" s="308"/>
      <c r="B131" s="251"/>
      <c r="C131" s="246"/>
      <c r="D131" s="247"/>
      <c r="E131" s="248"/>
      <c r="F131" s="248"/>
      <c r="G131" s="252"/>
      <c r="H131" s="253"/>
      <c r="I131" s="254"/>
      <c r="J131" s="254"/>
      <c r="K131" s="254"/>
    </row>
    <row r="132" spans="1:11" s="255" customFormat="1" ht="12.75">
      <c r="A132" s="308" t="s">
        <v>514</v>
      </c>
      <c r="B132" s="251" t="s">
        <v>485</v>
      </c>
      <c r="C132" s="246" t="s">
        <v>25</v>
      </c>
      <c r="D132" s="247">
        <v>1</v>
      </c>
      <c r="E132" s="248">
        <v>0</v>
      </c>
      <c r="F132" s="248">
        <f>D132*E132</f>
        <v>0</v>
      </c>
      <c r="G132" s="252" t="s">
        <v>572</v>
      </c>
      <c r="H132" s="253">
        <f>(F132/100)*G132</f>
        <v>0</v>
      </c>
      <c r="I132" s="254">
        <f>F132+H132</f>
        <v>0</v>
      </c>
      <c r="J132" s="254">
        <v>0</v>
      </c>
      <c r="K132" s="254">
        <v>0</v>
      </c>
    </row>
    <row r="133" spans="1:11" s="255" customFormat="1" ht="12.75">
      <c r="A133" s="308"/>
      <c r="B133" s="251"/>
      <c r="C133" s="246"/>
      <c r="D133" s="247"/>
      <c r="E133" s="248"/>
      <c r="F133" s="248"/>
      <c r="G133" s="252"/>
      <c r="H133" s="253"/>
      <c r="I133" s="254"/>
      <c r="J133" s="254"/>
      <c r="K133" s="254"/>
    </row>
    <row r="134" spans="1:11" s="255" customFormat="1" ht="25.5">
      <c r="A134" s="308" t="s">
        <v>703</v>
      </c>
      <c r="B134" s="251" t="s">
        <v>704</v>
      </c>
      <c r="C134" s="246" t="s">
        <v>25</v>
      </c>
      <c r="D134" s="247">
        <v>1</v>
      </c>
      <c r="E134" s="248">
        <v>0</v>
      </c>
      <c r="F134" s="248">
        <f>D134*E134</f>
        <v>0</v>
      </c>
      <c r="G134" s="252" t="s">
        <v>572</v>
      </c>
      <c r="H134" s="253">
        <f>(F134/100)*G134</f>
        <v>0</v>
      </c>
      <c r="I134" s="254">
        <f>F134+H134</f>
        <v>0</v>
      </c>
      <c r="J134" s="254">
        <v>0</v>
      </c>
      <c r="K134" s="254">
        <v>0</v>
      </c>
    </row>
    <row r="135" spans="1:11" s="255" customFormat="1" ht="12.75">
      <c r="A135" s="308"/>
      <c r="B135" s="251"/>
      <c r="C135" s="246"/>
      <c r="D135" s="247"/>
      <c r="E135" s="248"/>
      <c r="F135" s="248"/>
      <c r="G135" s="252"/>
      <c r="H135" s="253"/>
      <c r="I135" s="254"/>
      <c r="J135" s="254"/>
      <c r="K135" s="254"/>
    </row>
    <row r="136" spans="1:11" s="255" customFormat="1" ht="25.5">
      <c r="A136" s="308" t="s">
        <v>515</v>
      </c>
      <c r="B136" s="251" t="s">
        <v>705</v>
      </c>
      <c r="C136" s="246" t="s">
        <v>25</v>
      </c>
      <c r="D136" s="247">
        <v>8</v>
      </c>
      <c r="E136" s="248">
        <v>0</v>
      </c>
      <c r="F136" s="248">
        <f>D136*E136</f>
        <v>0</v>
      </c>
      <c r="G136" s="252" t="s">
        <v>572</v>
      </c>
      <c r="H136" s="253">
        <f>(F136/100)*G136</f>
        <v>0</v>
      </c>
      <c r="I136" s="254">
        <f>F136+H136</f>
        <v>0</v>
      </c>
      <c r="J136" s="254">
        <v>0</v>
      </c>
      <c r="K136" s="254">
        <v>0</v>
      </c>
    </row>
    <row r="137" spans="1:11" s="255" customFormat="1" ht="12.75">
      <c r="A137" s="308"/>
      <c r="B137" s="251"/>
      <c r="C137" s="246"/>
      <c r="D137" s="247"/>
      <c r="E137" s="248"/>
      <c r="F137" s="248"/>
      <c r="G137" s="252"/>
      <c r="H137" s="253"/>
      <c r="I137" s="254"/>
      <c r="J137" s="254"/>
      <c r="K137" s="254"/>
    </row>
    <row r="138" spans="1:11" s="255" customFormat="1" ht="25.5">
      <c r="A138" s="308" t="s">
        <v>516</v>
      </c>
      <c r="B138" s="251" t="s">
        <v>517</v>
      </c>
      <c r="C138" s="246" t="s">
        <v>25</v>
      </c>
      <c r="D138" s="247">
        <v>12</v>
      </c>
      <c r="E138" s="248">
        <v>0</v>
      </c>
      <c r="F138" s="242">
        <f>D138*E138</f>
        <v>0</v>
      </c>
      <c r="G138" s="252" t="s">
        <v>572</v>
      </c>
      <c r="H138" s="253">
        <f>(F138/100)*G138</f>
        <v>0</v>
      </c>
      <c r="I138" s="254">
        <f>F138+H138</f>
        <v>0</v>
      </c>
      <c r="J138" s="254">
        <v>0</v>
      </c>
      <c r="K138" s="254">
        <v>0</v>
      </c>
    </row>
    <row r="139" spans="1:11" s="255" customFormat="1" ht="12.75">
      <c r="A139" s="308"/>
      <c r="B139" s="251"/>
      <c r="C139" s="246"/>
      <c r="D139" s="247"/>
      <c r="E139" s="248"/>
      <c r="F139" s="242"/>
      <c r="G139" s="252"/>
      <c r="H139" s="253"/>
      <c r="I139" s="254"/>
      <c r="J139" s="254"/>
      <c r="K139" s="254"/>
    </row>
    <row r="140" spans="1:11" s="255" customFormat="1" ht="25.5">
      <c r="A140" s="308"/>
      <c r="B140" s="251" t="s">
        <v>706</v>
      </c>
      <c r="C140" s="246" t="s">
        <v>25</v>
      </c>
      <c r="D140" s="247">
        <v>20</v>
      </c>
      <c r="E140" s="248">
        <v>0</v>
      </c>
      <c r="F140" s="242">
        <f>D140*E140</f>
        <v>0</v>
      </c>
      <c r="G140" s="252" t="s">
        <v>572</v>
      </c>
      <c r="H140" s="253">
        <f>(F140/100)*G140</f>
        <v>0</v>
      </c>
      <c r="I140" s="254">
        <f>F140+H140</f>
        <v>0</v>
      </c>
      <c r="J140" s="254">
        <v>0</v>
      </c>
      <c r="K140" s="254">
        <v>0</v>
      </c>
    </row>
    <row r="141" spans="1:11" s="255" customFormat="1" ht="12.75">
      <c r="A141" s="308"/>
      <c r="B141" s="251"/>
      <c r="C141" s="246"/>
      <c r="D141" s="247"/>
      <c r="E141" s="248"/>
      <c r="F141" s="242"/>
      <c r="G141" s="252"/>
      <c r="H141" s="253"/>
      <c r="I141" s="254"/>
      <c r="J141" s="254"/>
      <c r="K141" s="254"/>
    </row>
    <row r="142" spans="1:11" s="255" customFormat="1" ht="25.5">
      <c r="A142" s="308" t="s">
        <v>518</v>
      </c>
      <c r="B142" s="251" t="s">
        <v>707</v>
      </c>
      <c r="C142" s="246" t="s">
        <v>25</v>
      </c>
      <c r="D142" s="247">
        <v>2</v>
      </c>
      <c r="E142" s="248">
        <v>0</v>
      </c>
      <c r="F142" s="242">
        <f>D142*E142</f>
        <v>0</v>
      </c>
      <c r="G142" s="252" t="s">
        <v>572</v>
      </c>
      <c r="H142" s="253">
        <f>(F142/100)*G142</f>
        <v>0</v>
      </c>
      <c r="I142" s="254">
        <f>F142+H142</f>
        <v>0</v>
      </c>
      <c r="J142" s="254">
        <v>0</v>
      </c>
      <c r="K142" s="254">
        <v>0</v>
      </c>
    </row>
    <row r="143" spans="1:11" s="255" customFormat="1" ht="12.75">
      <c r="A143" s="308"/>
      <c r="B143" s="251"/>
      <c r="C143" s="246"/>
      <c r="D143" s="247"/>
      <c r="E143" s="248"/>
      <c r="F143" s="242"/>
      <c r="G143" s="252"/>
      <c r="H143" s="253"/>
      <c r="I143" s="254"/>
      <c r="J143" s="254"/>
      <c r="K143" s="254"/>
    </row>
    <row r="144" spans="1:11" s="255" customFormat="1" ht="25.5">
      <c r="A144" s="308"/>
      <c r="B144" s="251" t="s">
        <v>694</v>
      </c>
      <c r="C144" s="246" t="s">
        <v>25</v>
      </c>
      <c r="D144" s="247">
        <v>2</v>
      </c>
      <c r="E144" s="248">
        <v>0</v>
      </c>
      <c r="F144" s="242">
        <f>D144*E144</f>
        <v>0</v>
      </c>
      <c r="G144" s="252" t="s">
        <v>572</v>
      </c>
      <c r="H144" s="253">
        <f>(F144/100)*G144</f>
        <v>0</v>
      </c>
      <c r="I144" s="254">
        <f>F144+H144</f>
        <v>0</v>
      </c>
      <c r="J144" s="254">
        <v>0</v>
      </c>
      <c r="K144" s="254">
        <v>0</v>
      </c>
    </row>
    <row r="145" spans="1:11" s="255" customFormat="1" ht="12.75">
      <c r="A145" s="308"/>
      <c r="B145" s="251"/>
      <c r="C145" s="246"/>
      <c r="D145" s="247"/>
      <c r="E145" s="248"/>
      <c r="F145" s="242"/>
      <c r="G145" s="252"/>
      <c r="H145" s="253"/>
      <c r="I145" s="254"/>
      <c r="J145" s="254"/>
      <c r="K145" s="254"/>
    </row>
    <row r="146" spans="1:11" s="255" customFormat="1" ht="25.5">
      <c r="A146" s="308" t="s">
        <v>519</v>
      </c>
      <c r="B146" s="251" t="s">
        <v>695</v>
      </c>
      <c r="C146" s="246" t="s">
        <v>25</v>
      </c>
      <c r="D146" s="247">
        <v>15</v>
      </c>
      <c r="E146" s="248">
        <v>0</v>
      </c>
      <c r="F146" s="248">
        <f>D146*E146</f>
        <v>0</v>
      </c>
      <c r="G146" s="252" t="s">
        <v>572</v>
      </c>
      <c r="H146" s="253">
        <f>(F146/100)*G146</f>
        <v>0</v>
      </c>
      <c r="I146" s="254">
        <f>F146+H146</f>
        <v>0</v>
      </c>
      <c r="J146" s="254">
        <v>0</v>
      </c>
      <c r="K146" s="254">
        <v>0</v>
      </c>
    </row>
    <row r="147" spans="1:11" s="255" customFormat="1" ht="12.75">
      <c r="A147" s="308"/>
      <c r="B147" s="251"/>
      <c r="C147" s="246"/>
      <c r="D147" s="247"/>
      <c r="E147" s="248"/>
      <c r="F147" s="248"/>
      <c r="G147" s="252"/>
      <c r="H147" s="253"/>
      <c r="I147" s="254"/>
      <c r="J147" s="254"/>
      <c r="K147" s="254"/>
    </row>
    <row r="148" spans="1:11" s="255" customFormat="1" ht="25.5">
      <c r="A148" s="308" t="s">
        <v>520</v>
      </c>
      <c r="B148" s="251" t="s">
        <v>708</v>
      </c>
      <c r="C148" s="246" t="s">
        <v>25</v>
      </c>
      <c r="D148" s="247">
        <v>2</v>
      </c>
      <c r="E148" s="248">
        <v>0</v>
      </c>
      <c r="F148" s="242">
        <f>D148*E148</f>
        <v>0</v>
      </c>
      <c r="G148" s="252" t="s">
        <v>572</v>
      </c>
      <c r="H148" s="253">
        <f>(F148/100)*G148</f>
        <v>0</v>
      </c>
      <c r="I148" s="254">
        <f>F148+H148</f>
        <v>0</v>
      </c>
      <c r="J148" s="254">
        <v>0</v>
      </c>
      <c r="K148" s="254">
        <v>0</v>
      </c>
    </row>
    <row r="149" spans="1:11" s="255" customFormat="1" ht="12.75">
      <c r="A149" s="308"/>
      <c r="B149" s="251"/>
      <c r="C149" s="246"/>
      <c r="D149" s="247"/>
      <c r="E149" s="248"/>
      <c r="F149" s="242"/>
      <c r="G149" s="252"/>
      <c r="H149" s="253"/>
      <c r="I149" s="254"/>
      <c r="J149" s="254"/>
      <c r="K149" s="254"/>
    </row>
    <row r="150" spans="1:11" s="255" customFormat="1" ht="25.5">
      <c r="A150" s="308"/>
      <c r="B150" s="251" t="s">
        <v>709</v>
      </c>
      <c r="C150" s="246" t="s">
        <v>25</v>
      </c>
      <c r="D150" s="247">
        <v>2</v>
      </c>
      <c r="E150" s="248">
        <v>0</v>
      </c>
      <c r="F150" s="242">
        <f>D150*E150</f>
        <v>0</v>
      </c>
      <c r="G150" s="252" t="s">
        <v>572</v>
      </c>
      <c r="H150" s="253">
        <f>(F150/100)*G150</f>
        <v>0</v>
      </c>
      <c r="I150" s="254">
        <f>F150+H150</f>
        <v>0</v>
      </c>
      <c r="J150" s="254">
        <v>0</v>
      </c>
      <c r="K150" s="254">
        <v>0</v>
      </c>
    </row>
    <row r="151" spans="1:11" s="255" customFormat="1" ht="12.75">
      <c r="A151" s="308"/>
      <c r="B151" s="251"/>
      <c r="C151" s="246"/>
      <c r="D151" s="247"/>
      <c r="E151" s="248"/>
      <c r="F151" s="242"/>
      <c r="G151" s="252"/>
      <c r="H151" s="253"/>
      <c r="I151" s="254"/>
      <c r="J151" s="254"/>
      <c r="K151" s="254"/>
    </row>
    <row r="152" spans="1:11" s="255" customFormat="1" ht="12.75">
      <c r="A152" s="308" t="s">
        <v>521</v>
      </c>
      <c r="B152" s="251" t="s">
        <v>710</v>
      </c>
      <c r="C152" s="246" t="s">
        <v>25</v>
      </c>
      <c r="D152" s="247">
        <v>6</v>
      </c>
      <c r="E152" s="248">
        <v>0</v>
      </c>
      <c r="F152" s="242">
        <f>D152*E152</f>
        <v>0</v>
      </c>
      <c r="G152" s="252" t="s">
        <v>572</v>
      </c>
      <c r="H152" s="253">
        <f>(F152/100)*G152</f>
        <v>0</v>
      </c>
      <c r="I152" s="254">
        <f>F152+H152</f>
        <v>0</v>
      </c>
      <c r="J152" s="254">
        <v>0</v>
      </c>
      <c r="K152" s="254">
        <v>0</v>
      </c>
    </row>
    <row r="153" spans="1:11" s="255" customFormat="1" ht="12.75">
      <c r="A153" s="308"/>
      <c r="B153" s="251"/>
      <c r="C153" s="246"/>
      <c r="D153" s="247"/>
      <c r="E153" s="248"/>
      <c r="F153" s="248"/>
      <c r="G153" s="252"/>
      <c r="H153" s="253"/>
      <c r="I153" s="254"/>
      <c r="J153" s="254"/>
      <c r="K153" s="254"/>
    </row>
    <row r="154" spans="1:11" s="255" customFormat="1" ht="12.75">
      <c r="A154" s="308" t="s">
        <v>522</v>
      </c>
      <c r="B154" s="251" t="s">
        <v>697</v>
      </c>
      <c r="C154" s="246" t="s">
        <v>25</v>
      </c>
      <c r="D154" s="247">
        <v>2</v>
      </c>
      <c r="E154" s="248">
        <v>0</v>
      </c>
      <c r="F154" s="248">
        <f>D154*E154</f>
        <v>0</v>
      </c>
      <c r="G154" s="252" t="s">
        <v>572</v>
      </c>
      <c r="H154" s="253">
        <f>(F154/100)*G154</f>
        <v>0</v>
      </c>
      <c r="I154" s="254">
        <f>F154+H154</f>
        <v>0</v>
      </c>
      <c r="J154" s="254">
        <v>0</v>
      </c>
      <c r="K154" s="254">
        <v>0</v>
      </c>
    </row>
    <row r="155" spans="1:11" s="255" customFormat="1" ht="12.75">
      <c r="A155" s="308"/>
      <c r="B155" s="251"/>
      <c r="C155" s="246"/>
      <c r="D155" s="247"/>
      <c r="E155" s="248"/>
      <c r="F155" s="248"/>
      <c r="G155" s="252"/>
      <c r="H155" s="253"/>
      <c r="I155" s="254"/>
      <c r="J155" s="254"/>
      <c r="K155" s="254"/>
    </row>
    <row r="156" spans="1:11" s="255" customFormat="1" ht="25.5">
      <c r="A156" s="308" t="s">
        <v>711</v>
      </c>
      <c r="B156" s="251" t="s">
        <v>698</v>
      </c>
      <c r="C156" s="246" t="s">
        <v>25</v>
      </c>
      <c r="D156" s="247">
        <v>2</v>
      </c>
      <c r="E156" s="248">
        <v>0</v>
      </c>
      <c r="F156" s="248">
        <f>D156*E156</f>
        <v>0</v>
      </c>
      <c r="G156" s="252" t="s">
        <v>572</v>
      </c>
      <c r="H156" s="253">
        <f>(F156/100)*G156</f>
        <v>0</v>
      </c>
      <c r="I156" s="254">
        <f>F156+H156</f>
        <v>0</v>
      </c>
      <c r="J156" s="254">
        <v>0</v>
      </c>
      <c r="K156" s="254">
        <v>0</v>
      </c>
    </row>
    <row r="157" spans="1:11" s="255" customFormat="1" ht="12.75">
      <c r="A157" s="308"/>
      <c r="B157" s="251"/>
      <c r="C157" s="246"/>
      <c r="D157" s="247"/>
      <c r="E157" s="248"/>
      <c r="F157" s="248"/>
      <c r="G157" s="252"/>
      <c r="H157" s="253"/>
      <c r="I157" s="254"/>
      <c r="J157" s="254"/>
      <c r="K157" s="254"/>
    </row>
    <row r="158" spans="1:11" s="255" customFormat="1" ht="25.5">
      <c r="A158" s="308" t="s">
        <v>712</v>
      </c>
      <c r="B158" s="251" t="s">
        <v>699</v>
      </c>
      <c r="C158" s="246" t="s">
        <v>25</v>
      </c>
      <c r="D158" s="247">
        <v>8</v>
      </c>
      <c r="E158" s="248">
        <v>0</v>
      </c>
      <c r="F158" s="248">
        <f>D158*E158</f>
        <v>0</v>
      </c>
      <c r="G158" s="252" t="s">
        <v>572</v>
      </c>
      <c r="H158" s="253">
        <f>(F158/100)*G158</f>
        <v>0</v>
      </c>
      <c r="I158" s="254">
        <f>F158+H158</f>
        <v>0</v>
      </c>
      <c r="J158" s="254">
        <v>0</v>
      </c>
      <c r="K158" s="254">
        <v>0</v>
      </c>
    </row>
    <row r="159" spans="1:11" s="255" customFormat="1" ht="12.75">
      <c r="A159" s="308"/>
      <c r="B159" s="251"/>
      <c r="C159" s="246"/>
      <c r="D159" s="247"/>
      <c r="E159" s="248"/>
      <c r="F159" s="248"/>
      <c r="G159" s="252"/>
      <c r="H159" s="253"/>
      <c r="I159" s="254"/>
      <c r="J159" s="254"/>
      <c r="K159" s="254"/>
    </row>
    <row r="160" spans="1:11" s="255" customFormat="1" ht="12.75">
      <c r="A160" s="307"/>
      <c r="B160" s="251" t="s">
        <v>497</v>
      </c>
      <c r="C160" s="246"/>
      <c r="D160" s="247"/>
      <c r="E160" s="248"/>
      <c r="F160" s="242"/>
      <c r="G160" s="243"/>
      <c r="H160" s="243"/>
      <c r="I160" s="249"/>
      <c r="J160" s="249"/>
      <c r="K160" s="249"/>
    </row>
    <row r="161" spans="1:11" s="255" customFormat="1" ht="15.75">
      <c r="A161" s="309"/>
      <c r="B161" s="258" t="s">
        <v>523</v>
      </c>
      <c r="C161" s="259" t="s">
        <v>57</v>
      </c>
      <c r="D161" s="260">
        <v>1</v>
      </c>
      <c r="E161" s="261"/>
      <c r="F161" s="262">
        <f>SUM(F111:F160)</f>
        <v>0</v>
      </c>
      <c r="G161" s="263"/>
      <c r="H161" s="263">
        <f>SUM(H111:H160)</f>
        <v>0</v>
      </c>
      <c r="I161" s="264">
        <f>SUM(I110:I160)</f>
        <v>0</v>
      </c>
      <c r="J161" s="264">
        <f>SUM(J110:J160)</f>
        <v>0</v>
      </c>
      <c r="K161" s="264">
        <f>SUM(K110:K160)</f>
        <v>0</v>
      </c>
    </row>
    <row r="162" spans="1:11" s="255" customFormat="1" ht="12.75">
      <c r="A162" s="309"/>
      <c r="B162" s="251"/>
      <c r="C162" s="246"/>
      <c r="D162" s="247"/>
      <c r="E162" s="248"/>
      <c r="F162" s="242"/>
      <c r="G162" s="243"/>
      <c r="H162" s="243"/>
      <c r="I162" s="249"/>
      <c r="J162" s="249"/>
      <c r="K162" s="249"/>
    </row>
    <row r="163" spans="1:11" ht="31.5">
      <c r="A163" s="307"/>
      <c r="B163" s="245" t="s">
        <v>524</v>
      </c>
      <c r="C163" s="246"/>
      <c r="D163" s="247"/>
      <c r="E163" s="248"/>
      <c r="F163" s="242"/>
      <c r="G163" s="243"/>
      <c r="H163" s="243"/>
      <c r="I163" s="249"/>
      <c r="J163" s="249"/>
      <c r="K163" s="249"/>
    </row>
    <row r="164" spans="1:11" s="255" customFormat="1" ht="12.75">
      <c r="A164" s="308"/>
      <c r="B164" s="251"/>
      <c r="C164" s="246"/>
      <c r="D164" s="247"/>
      <c r="E164" s="248"/>
      <c r="F164" s="248"/>
      <c r="G164" s="252"/>
      <c r="H164" s="253"/>
      <c r="I164" s="254"/>
      <c r="J164" s="254"/>
      <c r="K164" s="254"/>
    </row>
    <row r="165" spans="1:11" s="255" customFormat="1" ht="89.25">
      <c r="A165" s="308" t="s">
        <v>525</v>
      </c>
      <c r="B165" s="251" t="s">
        <v>713</v>
      </c>
      <c r="C165" s="246" t="s">
        <v>25</v>
      </c>
      <c r="D165" s="247">
        <v>1</v>
      </c>
      <c r="E165" s="248">
        <v>0</v>
      </c>
      <c r="F165" s="248">
        <f>D165*E165</f>
        <v>0</v>
      </c>
      <c r="G165" s="252" t="s">
        <v>572</v>
      </c>
      <c r="H165" s="253">
        <f>(F165/100)*G165</f>
        <v>0</v>
      </c>
      <c r="I165" s="254">
        <f>F165+H165</f>
        <v>0</v>
      </c>
      <c r="J165" s="254">
        <v>0</v>
      </c>
      <c r="K165" s="254">
        <v>0</v>
      </c>
    </row>
    <row r="166" spans="1:11" s="255" customFormat="1" ht="12.75">
      <c r="A166" s="308"/>
      <c r="B166" s="251"/>
      <c r="C166" s="246"/>
      <c r="D166" s="247"/>
      <c r="E166" s="248"/>
      <c r="F166" s="248"/>
      <c r="G166" s="252"/>
      <c r="H166" s="253"/>
      <c r="I166" s="254"/>
      <c r="J166" s="254"/>
      <c r="K166" s="254"/>
    </row>
    <row r="167" spans="1:11" s="255" customFormat="1" ht="13.5" customHeight="1">
      <c r="A167" s="307"/>
      <c r="B167" s="256" t="s">
        <v>481</v>
      </c>
      <c r="C167" s="246"/>
      <c r="D167" s="247"/>
      <c r="E167" s="248"/>
      <c r="F167" s="242"/>
      <c r="G167" s="243"/>
      <c r="H167" s="243"/>
      <c r="I167" s="249"/>
      <c r="J167" s="249"/>
      <c r="K167" s="249"/>
    </row>
    <row r="168" spans="1:11" s="255" customFormat="1" ht="12.75">
      <c r="A168" s="308"/>
      <c r="B168" s="251"/>
      <c r="C168" s="246"/>
      <c r="D168" s="247"/>
      <c r="E168" s="248"/>
      <c r="F168" s="248"/>
      <c r="G168" s="252"/>
      <c r="H168" s="253"/>
      <c r="I168" s="254"/>
      <c r="J168" s="254"/>
      <c r="K168" s="254"/>
    </row>
    <row r="169" spans="1:11" s="255" customFormat="1" ht="12.75">
      <c r="A169" s="308"/>
      <c r="B169" s="251" t="s">
        <v>666</v>
      </c>
      <c r="C169" s="246" t="s">
        <v>25</v>
      </c>
      <c r="D169" s="247">
        <v>1</v>
      </c>
      <c r="E169" s="248">
        <v>0</v>
      </c>
      <c r="F169" s="242">
        <f>D169*E169</f>
        <v>0</v>
      </c>
      <c r="G169" s="252" t="s">
        <v>572</v>
      </c>
      <c r="H169" s="253">
        <f>(F169/100)*G169</f>
        <v>0</v>
      </c>
      <c r="I169" s="254">
        <f>F169+H169</f>
        <v>0</v>
      </c>
      <c r="J169" s="254">
        <v>0</v>
      </c>
      <c r="K169" s="254">
        <v>0</v>
      </c>
    </row>
    <row r="170" spans="1:11" s="255" customFormat="1" ht="12.75">
      <c r="A170" s="308"/>
      <c r="B170" s="251"/>
      <c r="C170" s="246"/>
      <c r="D170" s="247"/>
      <c r="E170" s="248"/>
      <c r="F170" s="248"/>
      <c r="G170" s="252"/>
      <c r="H170" s="253"/>
      <c r="I170" s="254"/>
      <c r="J170" s="254"/>
      <c r="K170" s="254"/>
    </row>
    <row r="171" spans="1:11" s="255" customFormat="1" ht="38.25">
      <c r="A171" s="308" t="s">
        <v>526</v>
      </c>
      <c r="B171" s="251" t="s">
        <v>688</v>
      </c>
      <c r="C171" s="246"/>
      <c r="D171" s="247"/>
      <c r="E171" s="248"/>
      <c r="F171" s="248"/>
      <c r="G171" s="252"/>
      <c r="H171" s="253"/>
      <c r="I171" s="254"/>
      <c r="J171" s="254"/>
      <c r="K171" s="254"/>
    </row>
    <row r="172" spans="1:11" s="255" customFormat="1" ht="12.75">
      <c r="A172" s="308"/>
      <c r="B172" s="251" t="s">
        <v>714</v>
      </c>
      <c r="C172" s="246" t="s">
        <v>25</v>
      </c>
      <c r="D172" s="247">
        <v>1</v>
      </c>
      <c r="E172" s="248">
        <v>0</v>
      </c>
      <c r="F172" s="248">
        <f>D172*E172</f>
        <v>0</v>
      </c>
      <c r="G172" s="252" t="s">
        <v>572</v>
      </c>
      <c r="H172" s="253">
        <f>(F172/100)*G172</f>
        <v>0</v>
      </c>
      <c r="I172" s="254">
        <f>F172+H172</f>
        <v>0</v>
      </c>
      <c r="J172" s="254">
        <v>0</v>
      </c>
      <c r="K172" s="254">
        <v>0</v>
      </c>
    </row>
    <row r="173" spans="1:11" s="255" customFormat="1" ht="12.75">
      <c r="A173" s="308"/>
      <c r="B173" s="251"/>
      <c r="C173" s="246"/>
      <c r="D173" s="247"/>
      <c r="E173" s="248"/>
      <c r="F173" s="248"/>
      <c r="G173" s="252"/>
      <c r="H173" s="253"/>
      <c r="I173" s="254"/>
      <c r="J173" s="254"/>
      <c r="K173" s="254"/>
    </row>
    <row r="174" spans="1:11" s="255" customFormat="1" ht="13.5" customHeight="1">
      <c r="A174" s="307"/>
      <c r="B174" s="256" t="s">
        <v>481</v>
      </c>
      <c r="C174" s="246"/>
      <c r="D174" s="247"/>
      <c r="E174" s="248"/>
      <c r="F174" s="242"/>
      <c r="G174" s="243"/>
      <c r="H174" s="243"/>
      <c r="I174" s="249"/>
      <c r="J174" s="249"/>
      <c r="K174" s="249"/>
    </row>
    <row r="175" spans="1:11" s="255" customFormat="1" ht="12.75">
      <c r="A175" s="308"/>
      <c r="B175" s="251"/>
      <c r="C175" s="246"/>
      <c r="D175" s="247"/>
      <c r="E175" s="248"/>
      <c r="F175" s="248"/>
      <c r="G175" s="252"/>
      <c r="H175" s="253"/>
      <c r="I175" s="254"/>
      <c r="J175" s="254"/>
      <c r="K175" s="254"/>
    </row>
    <row r="176" spans="1:11" s="255" customFormat="1" ht="12.75">
      <c r="A176" s="308"/>
      <c r="B176" s="251" t="s">
        <v>482</v>
      </c>
      <c r="C176" s="246"/>
      <c r="D176" s="247"/>
      <c r="E176" s="248"/>
      <c r="F176" s="242"/>
      <c r="G176" s="252"/>
      <c r="H176" s="253"/>
      <c r="I176" s="254"/>
      <c r="J176" s="254"/>
      <c r="K176" s="254"/>
    </row>
    <row r="177" spans="1:11" s="255" customFormat="1" ht="12.75">
      <c r="A177" s="308"/>
      <c r="B177" s="251" t="s">
        <v>670</v>
      </c>
      <c r="C177" s="246" t="s">
        <v>25</v>
      </c>
      <c r="D177" s="247">
        <v>1</v>
      </c>
      <c r="E177" s="248">
        <v>0</v>
      </c>
      <c r="F177" s="242">
        <f>D177*E177</f>
        <v>0</v>
      </c>
      <c r="G177" s="252" t="s">
        <v>572</v>
      </c>
      <c r="H177" s="253">
        <f>(F177/100)*G177</f>
        <v>0</v>
      </c>
      <c r="I177" s="254">
        <f>F177+H177</f>
        <v>0</v>
      </c>
      <c r="J177" s="254">
        <v>0</v>
      </c>
      <c r="K177" s="254">
        <v>0</v>
      </c>
    </row>
    <row r="178" spans="1:11" s="255" customFormat="1" ht="12.75">
      <c r="A178" s="308"/>
      <c r="B178" s="251"/>
      <c r="C178" s="246"/>
      <c r="D178" s="247"/>
      <c r="E178" s="248"/>
      <c r="F178" s="242"/>
      <c r="G178" s="252"/>
      <c r="H178" s="253"/>
      <c r="I178" s="254"/>
      <c r="J178" s="254"/>
      <c r="K178" s="254"/>
    </row>
    <row r="179" spans="1:11" s="255" customFormat="1" ht="12.75">
      <c r="A179" s="308"/>
      <c r="B179" s="251" t="s">
        <v>483</v>
      </c>
      <c r="C179" s="246" t="s">
        <v>182</v>
      </c>
      <c r="D179" s="247">
        <v>25</v>
      </c>
      <c r="E179" s="248">
        <v>0</v>
      </c>
      <c r="F179" s="248">
        <f>D179*E179</f>
        <v>0</v>
      </c>
      <c r="G179" s="252" t="s">
        <v>572</v>
      </c>
      <c r="H179" s="253">
        <f>(F179/100)*G179</f>
        <v>0</v>
      </c>
      <c r="I179" s="254">
        <f>F179+H179</f>
        <v>0</v>
      </c>
      <c r="J179" s="254">
        <v>0</v>
      </c>
      <c r="K179" s="254">
        <v>0</v>
      </c>
    </row>
    <row r="180" spans="1:11" s="255" customFormat="1" ht="12.75">
      <c r="A180" s="308"/>
      <c r="B180" s="251"/>
      <c r="C180" s="246"/>
      <c r="D180" s="247"/>
      <c r="E180" s="248"/>
      <c r="F180" s="248"/>
      <c r="G180" s="252"/>
      <c r="H180" s="253"/>
      <c r="I180" s="254"/>
      <c r="J180" s="254"/>
      <c r="K180" s="254"/>
    </row>
    <row r="181" spans="1:11" s="255" customFormat="1" ht="12.75">
      <c r="A181" s="308"/>
      <c r="B181" s="250" t="s">
        <v>570</v>
      </c>
      <c r="C181" s="246"/>
      <c r="D181" s="247"/>
      <c r="E181" s="248"/>
      <c r="F181" s="242"/>
      <c r="G181" s="252"/>
      <c r="H181" s="253"/>
      <c r="I181" s="254"/>
      <c r="J181" s="254"/>
      <c r="K181" s="254"/>
    </row>
    <row r="182" spans="1:11" ht="12.75">
      <c r="A182" s="307"/>
      <c r="B182" s="250"/>
      <c r="C182" s="246"/>
      <c r="D182" s="247"/>
      <c r="E182" s="248"/>
      <c r="F182" s="242"/>
      <c r="G182" s="243"/>
      <c r="H182" s="243"/>
      <c r="I182" s="249"/>
      <c r="J182" s="249"/>
      <c r="K182" s="249"/>
    </row>
    <row r="183" spans="1:11" s="255" customFormat="1" ht="25.5">
      <c r="A183" s="308"/>
      <c r="B183" s="265" t="s">
        <v>571</v>
      </c>
      <c r="C183" s="246" t="s">
        <v>57</v>
      </c>
      <c r="D183" s="247">
        <v>1</v>
      </c>
      <c r="E183" s="248">
        <v>0</v>
      </c>
      <c r="F183" s="242">
        <f>D183*E183</f>
        <v>0</v>
      </c>
      <c r="G183" s="252" t="s">
        <v>572</v>
      </c>
      <c r="H183" s="253">
        <f>(F183/100)*G183</f>
        <v>0</v>
      </c>
      <c r="I183" s="254">
        <f>F183+H183</f>
        <v>0</v>
      </c>
      <c r="J183" s="254">
        <v>0</v>
      </c>
      <c r="K183" s="254">
        <v>0</v>
      </c>
    </row>
    <row r="184" spans="1:11" s="255" customFormat="1" ht="12.75">
      <c r="A184" s="308"/>
      <c r="B184" s="251"/>
      <c r="C184" s="246"/>
      <c r="D184" s="247"/>
      <c r="E184" s="248"/>
      <c r="F184" s="242"/>
      <c r="G184" s="252"/>
      <c r="H184" s="253"/>
      <c r="I184" s="254"/>
      <c r="J184" s="254"/>
      <c r="K184" s="254"/>
    </row>
    <row r="185" spans="1:11" s="255" customFormat="1" ht="12.75">
      <c r="A185" s="308" t="s">
        <v>527</v>
      </c>
      <c r="B185" s="251" t="s">
        <v>485</v>
      </c>
      <c r="C185" s="246" t="s">
        <v>25</v>
      </c>
      <c r="D185" s="247">
        <v>1</v>
      </c>
      <c r="E185" s="248">
        <v>0</v>
      </c>
      <c r="F185" s="248">
        <f>D185*E185</f>
        <v>0</v>
      </c>
      <c r="G185" s="252" t="s">
        <v>572</v>
      </c>
      <c r="H185" s="253">
        <f>(F185/100)*G185</f>
        <v>0</v>
      </c>
      <c r="I185" s="254">
        <f>F185+H185</f>
        <v>0</v>
      </c>
      <c r="J185" s="254">
        <v>0</v>
      </c>
      <c r="K185" s="254">
        <v>0</v>
      </c>
    </row>
    <row r="186" spans="1:11" s="255" customFormat="1" ht="12.75">
      <c r="A186" s="308"/>
      <c r="B186" s="251"/>
      <c r="C186" s="246"/>
      <c r="D186" s="247"/>
      <c r="E186" s="248"/>
      <c r="F186" s="242"/>
      <c r="G186" s="252"/>
      <c r="H186" s="253"/>
      <c r="I186" s="254"/>
      <c r="J186" s="254"/>
      <c r="K186" s="254"/>
    </row>
    <row r="187" spans="1:11" s="255" customFormat="1" ht="25.5">
      <c r="A187" s="308" t="s">
        <v>528</v>
      </c>
      <c r="B187" s="251" t="s">
        <v>487</v>
      </c>
      <c r="C187" s="246" t="s">
        <v>25</v>
      </c>
      <c r="D187" s="247">
        <v>3</v>
      </c>
      <c r="E187" s="248">
        <v>0</v>
      </c>
      <c r="F187" s="248">
        <f>D187*E187</f>
        <v>0</v>
      </c>
      <c r="G187" s="252" t="s">
        <v>572</v>
      </c>
      <c r="H187" s="253">
        <f>(F187/100)*G187</f>
        <v>0</v>
      </c>
      <c r="I187" s="254">
        <f>F187+H187</f>
        <v>0</v>
      </c>
      <c r="J187" s="254">
        <v>0</v>
      </c>
      <c r="K187" s="254">
        <v>0</v>
      </c>
    </row>
    <row r="188" spans="1:11" s="255" customFormat="1" ht="12.75">
      <c r="A188" s="308"/>
      <c r="B188" s="251"/>
      <c r="C188" s="246"/>
      <c r="D188" s="247"/>
      <c r="E188" s="248"/>
      <c r="F188" s="242"/>
      <c r="G188" s="252"/>
      <c r="H188" s="253"/>
      <c r="I188" s="254"/>
      <c r="J188" s="254"/>
      <c r="K188" s="254"/>
    </row>
    <row r="189" spans="1:11" s="255" customFormat="1" ht="25.5">
      <c r="A189" s="308" t="s">
        <v>529</v>
      </c>
      <c r="B189" s="251" t="s">
        <v>487</v>
      </c>
      <c r="C189" s="246" t="s">
        <v>25</v>
      </c>
      <c r="D189" s="247">
        <v>6</v>
      </c>
      <c r="E189" s="248">
        <v>0</v>
      </c>
      <c r="F189" s="248">
        <f>D189*E189</f>
        <v>0</v>
      </c>
      <c r="G189" s="252" t="s">
        <v>572</v>
      </c>
      <c r="H189" s="253">
        <f>(F189/100)*G189</f>
        <v>0</v>
      </c>
      <c r="I189" s="254">
        <f>F189+H189</f>
        <v>0</v>
      </c>
      <c r="J189" s="254">
        <v>0</v>
      </c>
      <c r="K189" s="254">
        <v>0</v>
      </c>
    </row>
    <row r="190" spans="1:11" s="255" customFormat="1" ht="12.75">
      <c r="A190" s="308"/>
      <c r="B190" s="251"/>
      <c r="C190" s="246"/>
      <c r="D190" s="247"/>
      <c r="E190" s="248"/>
      <c r="F190" s="242"/>
      <c r="G190" s="252"/>
      <c r="H190" s="253"/>
      <c r="I190" s="254"/>
      <c r="J190" s="254"/>
      <c r="K190" s="254"/>
    </row>
    <row r="191" spans="1:11" s="255" customFormat="1" ht="25.5">
      <c r="A191" s="308" t="s">
        <v>530</v>
      </c>
      <c r="B191" s="251" t="s">
        <v>705</v>
      </c>
      <c r="C191" s="246" t="s">
        <v>25</v>
      </c>
      <c r="D191" s="247">
        <v>3</v>
      </c>
      <c r="E191" s="248">
        <v>0</v>
      </c>
      <c r="F191" s="248">
        <f>D191*E191</f>
        <v>0</v>
      </c>
      <c r="G191" s="252" t="s">
        <v>572</v>
      </c>
      <c r="H191" s="253">
        <f>(F191/100)*G191</f>
        <v>0</v>
      </c>
      <c r="I191" s="254">
        <f>F191+H191</f>
        <v>0</v>
      </c>
      <c r="J191" s="254">
        <v>0</v>
      </c>
      <c r="K191" s="254">
        <v>0</v>
      </c>
    </row>
    <row r="192" spans="1:11" s="255" customFormat="1" ht="12.75">
      <c r="A192" s="308"/>
      <c r="B192" s="251"/>
      <c r="C192" s="246"/>
      <c r="D192" s="247"/>
      <c r="E192" s="248"/>
      <c r="F192" s="242"/>
      <c r="G192" s="252"/>
      <c r="H192" s="253"/>
      <c r="I192" s="254"/>
      <c r="J192" s="254"/>
      <c r="K192" s="254"/>
    </row>
    <row r="193" spans="1:11" s="255" customFormat="1" ht="12.75">
      <c r="A193" s="308" t="s">
        <v>531</v>
      </c>
      <c r="B193" s="251" t="s">
        <v>710</v>
      </c>
      <c r="C193" s="246" t="s">
        <v>25</v>
      </c>
      <c r="D193" s="247">
        <v>24</v>
      </c>
      <c r="E193" s="248">
        <v>0</v>
      </c>
      <c r="F193" s="242">
        <f>D193*E193</f>
        <v>0</v>
      </c>
      <c r="G193" s="252" t="s">
        <v>572</v>
      </c>
      <c r="H193" s="253">
        <f>(F193/100)*G193</f>
        <v>0</v>
      </c>
      <c r="I193" s="254">
        <f>F193+H193</f>
        <v>0</v>
      </c>
      <c r="J193" s="254">
        <v>0</v>
      </c>
      <c r="K193" s="254">
        <v>0</v>
      </c>
    </row>
    <row r="194" spans="1:11" s="255" customFormat="1" ht="12.75">
      <c r="A194" s="308"/>
      <c r="B194" s="251"/>
      <c r="C194" s="246"/>
      <c r="D194" s="247"/>
      <c r="E194" s="248"/>
      <c r="F194" s="242"/>
      <c r="G194" s="252"/>
      <c r="H194" s="253"/>
      <c r="I194" s="254"/>
      <c r="J194" s="254"/>
      <c r="K194" s="254"/>
    </row>
    <row r="195" spans="1:11" s="255" customFormat="1" ht="25.5">
      <c r="A195" s="308" t="s">
        <v>532</v>
      </c>
      <c r="B195" s="251" t="s">
        <v>695</v>
      </c>
      <c r="C195" s="246" t="s">
        <v>25</v>
      </c>
      <c r="D195" s="247">
        <v>12</v>
      </c>
      <c r="E195" s="248">
        <v>0</v>
      </c>
      <c r="F195" s="248">
        <f>D195*E195</f>
        <v>0</v>
      </c>
      <c r="G195" s="252" t="s">
        <v>572</v>
      </c>
      <c r="H195" s="253">
        <f>(F195/100)*G195</f>
        <v>0</v>
      </c>
      <c r="I195" s="254">
        <f>F195+H195</f>
        <v>0</v>
      </c>
      <c r="J195" s="254">
        <v>0</v>
      </c>
      <c r="K195" s="254">
        <v>0</v>
      </c>
    </row>
    <row r="196" spans="1:11" s="255" customFormat="1" ht="12.75">
      <c r="A196" s="308"/>
      <c r="B196" s="251"/>
      <c r="C196" s="246"/>
      <c r="D196" s="247"/>
      <c r="E196" s="248"/>
      <c r="F196" s="242"/>
      <c r="G196" s="252"/>
      <c r="H196" s="253"/>
      <c r="I196" s="254"/>
      <c r="J196" s="254"/>
      <c r="K196" s="254"/>
    </row>
    <row r="197" spans="1:11" s="255" customFormat="1" ht="12.75">
      <c r="A197" s="308" t="s">
        <v>533</v>
      </c>
      <c r="B197" s="251" t="s">
        <v>715</v>
      </c>
      <c r="C197" s="246" t="s">
        <v>25</v>
      </c>
      <c r="D197" s="247">
        <v>3</v>
      </c>
      <c r="E197" s="248">
        <v>0</v>
      </c>
      <c r="F197" s="248">
        <f>D197*E197</f>
        <v>0</v>
      </c>
      <c r="G197" s="252" t="s">
        <v>572</v>
      </c>
      <c r="H197" s="253">
        <f>(F197/100)*G197</f>
        <v>0</v>
      </c>
      <c r="I197" s="254">
        <f>F197+H197</f>
        <v>0</v>
      </c>
      <c r="J197" s="254">
        <v>0</v>
      </c>
      <c r="K197" s="254">
        <v>0</v>
      </c>
    </row>
    <row r="198" spans="1:11" s="255" customFormat="1" ht="12.75">
      <c r="A198" s="308"/>
      <c r="B198" s="251"/>
      <c r="C198" s="246"/>
      <c r="D198" s="247"/>
      <c r="E198" s="248"/>
      <c r="F198" s="248"/>
      <c r="G198" s="252"/>
      <c r="H198" s="253"/>
      <c r="I198" s="254"/>
      <c r="J198" s="254"/>
      <c r="K198" s="254"/>
    </row>
    <row r="199" spans="1:11" s="255" customFormat="1" ht="25.5">
      <c r="A199" s="308" t="s">
        <v>534</v>
      </c>
      <c r="B199" s="251" t="s">
        <v>716</v>
      </c>
      <c r="C199" s="246" t="s">
        <v>25</v>
      </c>
      <c r="D199" s="247">
        <v>2</v>
      </c>
      <c r="E199" s="248">
        <v>0</v>
      </c>
      <c r="F199" s="242">
        <f>D199*E199</f>
        <v>0</v>
      </c>
      <c r="G199" s="252" t="s">
        <v>572</v>
      </c>
      <c r="H199" s="253">
        <f>(F199/100)*G199</f>
        <v>0</v>
      </c>
      <c r="I199" s="254">
        <f>F199+H199</f>
        <v>0</v>
      </c>
      <c r="J199" s="254">
        <v>0</v>
      </c>
      <c r="K199" s="254">
        <v>0</v>
      </c>
    </row>
    <row r="200" spans="1:11" s="255" customFormat="1" ht="12.75">
      <c r="A200" s="308"/>
      <c r="B200" s="251"/>
      <c r="C200" s="246"/>
      <c r="D200" s="247"/>
      <c r="E200" s="248"/>
      <c r="F200" s="242"/>
      <c r="G200" s="252"/>
      <c r="H200" s="253"/>
      <c r="I200" s="254"/>
      <c r="J200" s="254"/>
      <c r="K200" s="254"/>
    </row>
    <row r="201" spans="1:11" s="255" customFormat="1" ht="12.75">
      <c r="A201" s="307"/>
      <c r="B201" s="251" t="s">
        <v>497</v>
      </c>
      <c r="C201" s="246"/>
      <c r="D201" s="247"/>
      <c r="E201" s="248"/>
      <c r="F201" s="242"/>
      <c r="G201" s="243"/>
      <c r="H201" s="243"/>
      <c r="I201" s="249"/>
      <c r="J201" s="249"/>
      <c r="K201" s="249"/>
    </row>
    <row r="202" spans="1:11" s="255" customFormat="1" ht="15.75">
      <c r="A202" s="309"/>
      <c r="B202" s="258" t="s">
        <v>535</v>
      </c>
      <c r="C202" s="259" t="s">
        <v>57</v>
      </c>
      <c r="D202" s="260">
        <v>1</v>
      </c>
      <c r="E202" s="261"/>
      <c r="F202" s="262">
        <f>SUM(F164:F201)</f>
        <v>0</v>
      </c>
      <c r="G202" s="263"/>
      <c r="H202" s="263">
        <f>SUM(H164:H201)</f>
        <v>0</v>
      </c>
      <c r="I202" s="264">
        <f>SUM(I163:I201)</f>
        <v>0</v>
      </c>
      <c r="J202" s="264">
        <f>SUM(J163:J201)</f>
        <v>0</v>
      </c>
      <c r="K202" s="264">
        <f>SUM(K163:K201)</f>
        <v>0</v>
      </c>
    </row>
    <row r="203" spans="1:11" s="255" customFormat="1" ht="12.75">
      <c r="A203" s="309"/>
      <c r="B203" s="251"/>
      <c r="C203" s="246"/>
      <c r="D203" s="247"/>
      <c r="E203" s="248"/>
      <c r="F203" s="242"/>
      <c r="G203" s="243"/>
      <c r="H203" s="243"/>
      <c r="I203" s="249"/>
      <c r="J203" s="249"/>
      <c r="K203" s="249"/>
    </row>
    <row r="204" spans="1:11" ht="15.75">
      <c r="A204" s="307"/>
      <c r="B204" s="245" t="s">
        <v>536</v>
      </c>
      <c r="C204" s="246"/>
      <c r="D204" s="247"/>
      <c r="E204" s="248"/>
      <c r="F204" s="242"/>
      <c r="G204" s="243"/>
      <c r="H204" s="243"/>
      <c r="I204" s="249"/>
      <c r="J204" s="249"/>
      <c r="K204" s="249"/>
    </row>
    <row r="205" spans="1:11" s="255" customFormat="1" ht="12.75">
      <c r="A205" s="308"/>
      <c r="B205" s="251"/>
      <c r="C205" s="246"/>
      <c r="D205" s="247"/>
      <c r="E205" s="248"/>
      <c r="F205" s="248"/>
      <c r="G205" s="252"/>
      <c r="H205" s="253"/>
      <c r="I205" s="254"/>
      <c r="J205" s="254"/>
      <c r="K205" s="254"/>
    </row>
    <row r="206" spans="1:11" s="255" customFormat="1" ht="89.25">
      <c r="A206" s="308" t="s">
        <v>537</v>
      </c>
      <c r="B206" s="251" t="s">
        <v>717</v>
      </c>
      <c r="C206" s="246" t="s">
        <v>25</v>
      </c>
      <c r="D206" s="247">
        <v>1</v>
      </c>
      <c r="E206" s="248">
        <v>0</v>
      </c>
      <c r="F206" s="248">
        <f>D206*E206</f>
        <v>0</v>
      </c>
      <c r="G206" s="252" t="s">
        <v>572</v>
      </c>
      <c r="H206" s="253">
        <f>(F206/100)*G206</f>
        <v>0</v>
      </c>
      <c r="I206" s="254">
        <f>F206+H206</f>
        <v>0</v>
      </c>
      <c r="J206" s="254">
        <v>0</v>
      </c>
      <c r="K206" s="254">
        <v>0</v>
      </c>
    </row>
    <row r="207" spans="1:11" s="255" customFormat="1" ht="12.75">
      <c r="A207" s="308"/>
      <c r="B207" s="251"/>
      <c r="C207" s="246"/>
      <c r="D207" s="247"/>
      <c r="E207" s="248"/>
      <c r="F207" s="248"/>
      <c r="G207" s="252"/>
      <c r="H207" s="253"/>
      <c r="I207" s="254"/>
      <c r="J207" s="254"/>
      <c r="K207" s="254"/>
    </row>
    <row r="208" spans="1:11" s="255" customFormat="1" ht="13.5" customHeight="1">
      <c r="A208" s="307"/>
      <c r="B208" s="256" t="s">
        <v>481</v>
      </c>
      <c r="C208" s="246"/>
      <c r="D208" s="247"/>
      <c r="E208" s="248"/>
      <c r="F208" s="242"/>
      <c r="G208" s="243"/>
      <c r="H208" s="243"/>
      <c r="I208" s="249"/>
      <c r="J208" s="249"/>
      <c r="K208" s="249"/>
    </row>
    <row r="209" spans="1:11" s="255" customFormat="1" ht="12.75">
      <c r="A209" s="308"/>
      <c r="B209" s="251"/>
      <c r="C209" s="246"/>
      <c r="D209" s="247"/>
      <c r="E209" s="248"/>
      <c r="F209" s="248"/>
      <c r="G209" s="252"/>
      <c r="H209" s="253"/>
      <c r="I209" s="254"/>
      <c r="J209" s="254"/>
      <c r="K209" s="254"/>
    </row>
    <row r="210" spans="1:11" s="255" customFormat="1" ht="12.75">
      <c r="A210" s="308"/>
      <c r="B210" s="251" t="s">
        <v>666</v>
      </c>
      <c r="C210" s="246" t="s">
        <v>25</v>
      </c>
      <c r="D210" s="247">
        <v>1</v>
      </c>
      <c r="E210" s="248">
        <v>0</v>
      </c>
      <c r="F210" s="242">
        <f>D210*E210</f>
        <v>0</v>
      </c>
      <c r="G210" s="252" t="s">
        <v>572</v>
      </c>
      <c r="H210" s="253">
        <f>(F210/100)*G210</f>
        <v>0</v>
      </c>
      <c r="I210" s="254">
        <f>F210+H210</f>
        <v>0</v>
      </c>
      <c r="J210" s="254">
        <v>0</v>
      </c>
      <c r="K210" s="254">
        <v>0</v>
      </c>
    </row>
    <row r="211" spans="1:11" s="255" customFormat="1" ht="12.75">
      <c r="A211" s="308"/>
      <c r="B211" s="251"/>
      <c r="C211" s="246"/>
      <c r="D211" s="247"/>
      <c r="E211" s="248"/>
      <c r="F211" s="248"/>
      <c r="G211" s="252"/>
      <c r="H211" s="253"/>
      <c r="I211" s="254"/>
      <c r="J211" s="254"/>
      <c r="K211" s="254"/>
    </row>
    <row r="212" spans="1:11" s="255" customFormat="1" ht="25.5">
      <c r="A212" s="308" t="s">
        <v>538</v>
      </c>
      <c r="B212" s="251" t="s">
        <v>718</v>
      </c>
      <c r="C212" s="246" t="s">
        <v>25</v>
      </c>
      <c r="D212" s="247">
        <v>2</v>
      </c>
      <c r="E212" s="248">
        <v>0</v>
      </c>
      <c r="F212" s="248">
        <f>D212*E212</f>
        <v>0</v>
      </c>
      <c r="G212" s="252" t="s">
        <v>572</v>
      </c>
      <c r="H212" s="253">
        <f>(F212/100)*G212</f>
        <v>0</v>
      </c>
      <c r="I212" s="254">
        <f>F212+H212</f>
        <v>0</v>
      </c>
      <c r="J212" s="254">
        <v>0</v>
      </c>
      <c r="K212" s="254">
        <v>0</v>
      </c>
    </row>
    <row r="213" spans="1:11" s="255" customFormat="1" ht="12.75">
      <c r="A213" s="308"/>
      <c r="B213" s="251"/>
      <c r="C213" s="246"/>
      <c r="D213" s="247"/>
      <c r="E213" s="248"/>
      <c r="F213" s="248"/>
      <c r="G213" s="252"/>
      <c r="H213" s="253"/>
      <c r="I213" s="254"/>
      <c r="J213" s="254"/>
      <c r="K213" s="254"/>
    </row>
    <row r="214" spans="1:11" s="255" customFormat="1" ht="25.5">
      <c r="A214" s="308" t="s">
        <v>539</v>
      </c>
      <c r="B214" s="251" t="s">
        <v>719</v>
      </c>
      <c r="C214" s="246" t="s">
        <v>25</v>
      </c>
      <c r="D214" s="247">
        <v>2</v>
      </c>
      <c r="E214" s="248">
        <v>0</v>
      </c>
      <c r="F214" s="248">
        <f>D214*E214</f>
        <v>0</v>
      </c>
      <c r="G214" s="252" t="s">
        <v>572</v>
      </c>
      <c r="H214" s="253">
        <f>(F214/100)*G214</f>
        <v>0</v>
      </c>
      <c r="I214" s="254">
        <f>F214+H214</f>
        <v>0</v>
      </c>
      <c r="J214" s="254">
        <v>0</v>
      </c>
      <c r="K214" s="254">
        <v>0</v>
      </c>
    </row>
    <row r="215" spans="1:11" s="255" customFormat="1" ht="12.75">
      <c r="A215" s="308"/>
      <c r="B215" s="251"/>
      <c r="C215" s="246"/>
      <c r="D215" s="247"/>
      <c r="E215" s="248"/>
      <c r="F215" s="248"/>
      <c r="G215" s="252"/>
      <c r="H215" s="253"/>
      <c r="I215" s="254"/>
      <c r="J215" s="254"/>
      <c r="K215" s="254"/>
    </row>
    <row r="216" spans="1:11" s="255" customFormat="1" ht="12.75">
      <c r="A216" s="308" t="s">
        <v>540</v>
      </c>
      <c r="B216" t="s">
        <v>720</v>
      </c>
      <c r="C216" s="246" t="s">
        <v>25</v>
      </c>
      <c r="D216" s="247">
        <v>2</v>
      </c>
      <c r="E216" s="248">
        <v>0</v>
      </c>
      <c r="F216" s="242">
        <f>D216*E216</f>
        <v>0</v>
      </c>
      <c r="G216" s="252" t="s">
        <v>572</v>
      </c>
      <c r="H216" s="253">
        <f>(F216/100)*G216</f>
        <v>0</v>
      </c>
      <c r="I216" s="254">
        <f>F216+H216</f>
        <v>0</v>
      </c>
      <c r="J216" s="254">
        <v>0</v>
      </c>
      <c r="K216" s="254">
        <v>0</v>
      </c>
    </row>
    <row r="217" spans="1:11" s="255" customFormat="1" ht="12.75">
      <c r="A217" s="308"/>
      <c r="B217" s="251"/>
      <c r="C217" s="246"/>
      <c r="D217" s="247"/>
      <c r="E217" s="248"/>
      <c r="F217" s="248"/>
      <c r="G217" s="252"/>
      <c r="H217" s="253"/>
      <c r="I217" s="254"/>
      <c r="J217" s="254"/>
      <c r="K217" s="254"/>
    </row>
    <row r="218" spans="1:11" s="255" customFormat="1" ht="12.75">
      <c r="A218" s="308" t="s">
        <v>541</v>
      </c>
      <c r="B218" t="s">
        <v>721</v>
      </c>
      <c r="C218" s="246" t="s">
        <v>25</v>
      </c>
      <c r="D218" s="247">
        <v>6</v>
      </c>
      <c r="E218" s="248">
        <v>0</v>
      </c>
      <c r="F218" s="242">
        <f>D218*E218</f>
        <v>0</v>
      </c>
      <c r="G218" s="252" t="s">
        <v>572</v>
      </c>
      <c r="H218" s="253">
        <f>(F218/100)*G218</f>
        <v>0</v>
      </c>
      <c r="I218" s="254">
        <f>F218+H218</f>
        <v>0</v>
      </c>
      <c r="J218" s="254">
        <v>0</v>
      </c>
      <c r="K218" s="254">
        <v>0</v>
      </c>
    </row>
    <row r="219" spans="1:11" s="255" customFormat="1" ht="12.75">
      <c r="A219" s="308"/>
      <c r="B219" s="251"/>
      <c r="C219" s="246"/>
      <c r="D219" s="247"/>
      <c r="E219" s="248"/>
      <c r="F219" s="248"/>
      <c r="G219" s="252"/>
      <c r="H219" s="253"/>
      <c r="I219" s="254"/>
      <c r="J219" s="254"/>
      <c r="K219" s="254"/>
    </row>
    <row r="220" spans="1:11" s="255" customFormat="1" ht="12.75">
      <c r="A220" s="308" t="s">
        <v>542</v>
      </c>
      <c r="B220" t="s">
        <v>722</v>
      </c>
      <c r="C220" s="246" t="s">
        <v>25</v>
      </c>
      <c r="D220" s="247">
        <v>8</v>
      </c>
      <c r="E220" s="248">
        <v>0</v>
      </c>
      <c r="F220" s="242">
        <f>D220*E220</f>
        <v>0</v>
      </c>
      <c r="G220" s="252" t="s">
        <v>572</v>
      </c>
      <c r="H220" s="253">
        <f>(F220/100)*G220</f>
        <v>0</v>
      </c>
      <c r="I220" s="254">
        <f>F220+H220</f>
        <v>0</v>
      </c>
      <c r="J220" s="254">
        <v>0</v>
      </c>
      <c r="K220" s="254">
        <v>0</v>
      </c>
    </row>
    <row r="221" spans="1:11" s="255" customFormat="1" ht="12.75">
      <c r="A221" s="308"/>
      <c r="B221" s="251"/>
      <c r="C221" s="246"/>
      <c r="D221" s="247"/>
      <c r="E221" s="248"/>
      <c r="F221" s="248"/>
      <c r="G221" s="252"/>
      <c r="H221" s="253"/>
      <c r="I221" s="254"/>
      <c r="J221" s="254"/>
      <c r="K221" s="254"/>
    </row>
    <row r="222" spans="1:11" s="255" customFormat="1" ht="12.75">
      <c r="A222" s="308" t="s">
        <v>543</v>
      </c>
      <c r="B222" s="251" t="s">
        <v>723</v>
      </c>
      <c r="C222" s="246" t="s">
        <v>25</v>
      </c>
      <c r="D222" s="247">
        <v>2</v>
      </c>
      <c r="E222" s="248">
        <v>0</v>
      </c>
      <c r="F222" s="248">
        <f>D222*E222</f>
        <v>0</v>
      </c>
      <c r="G222" s="252" t="s">
        <v>572</v>
      </c>
      <c r="H222" s="253">
        <f>(F222/100)*G222</f>
        <v>0</v>
      </c>
      <c r="I222" s="254">
        <f>F222+H222</f>
        <v>0</v>
      </c>
      <c r="J222" s="254">
        <v>0</v>
      </c>
      <c r="K222" s="254">
        <v>0</v>
      </c>
    </row>
    <row r="223" spans="1:11" s="255" customFormat="1" ht="12.75">
      <c r="A223" s="308"/>
      <c r="B223" s="251"/>
      <c r="C223" s="246"/>
      <c r="D223" s="247"/>
      <c r="E223" s="248"/>
      <c r="F223" s="248"/>
      <c r="G223" s="252"/>
      <c r="H223" s="253"/>
      <c r="I223" s="254"/>
      <c r="J223" s="254"/>
      <c r="K223" s="254"/>
    </row>
    <row r="224" spans="1:11" s="255" customFormat="1" ht="12.75">
      <c r="A224" s="308" t="s">
        <v>544</v>
      </c>
      <c r="B224" s="251" t="s">
        <v>724</v>
      </c>
      <c r="C224" s="246" t="s">
        <v>25</v>
      </c>
      <c r="D224" s="247">
        <v>2</v>
      </c>
      <c r="E224" s="248">
        <v>0</v>
      </c>
      <c r="F224" s="248">
        <f>D224*E224</f>
        <v>0</v>
      </c>
      <c r="G224" s="252" t="s">
        <v>572</v>
      </c>
      <c r="H224" s="253">
        <f>(F224/100)*G224</f>
        <v>0</v>
      </c>
      <c r="I224" s="254">
        <f>F224+H224</f>
        <v>0</v>
      </c>
      <c r="J224" s="254">
        <v>0</v>
      </c>
      <c r="K224" s="254">
        <v>0</v>
      </c>
    </row>
    <row r="225" spans="1:11" s="255" customFormat="1" ht="12.75">
      <c r="A225" s="308"/>
      <c r="B225" s="251"/>
      <c r="C225" s="246"/>
      <c r="D225" s="247"/>
      <c r="E225" s="248"/>
      <c r="F225" s="248"/>
      <c r="G225" s="252"/>
      <c r="H225" s="253"/>
      <c r="I225" s="254"/>
      <c r="J225" s="254"/>
      <c r="K225" s="254"/>
    </row>
    <row r="226" spans="1:11" s="255" customFormat="1" ht="12.75">
      <c r="A226" s="308" t="s">
        <v>545</v>
      </c>
      <c r="B226" t="s">
        <v>725</v>
      </c>
      <c r="C226" s="246" t="s">
        <v>25</v>
      </c>
      <c r="D226" s="247">
        <v>2</v>
      </c>
      <c r="E226" s="248">
        <v>0</v>
      </c>
      <c r="F226" s="242">
        <f>D226*E226</f>
        <v>0</v>
      </c>
      <c r="G226" s="252" t="s">
        <v>572</v>
      </c>
      <c r="H226" s="253">
        <f>(F226/100)*G226</f>
        <v>0</v>
      </c>
      <c r="I226" s="254">
        <f>F226+H226</f>
        <v>0</v>
      </c>
      <c r="J226" s="254">
        <v>0</v>
      </c>
      <c r="K226" s="254">
        <v>0</v>
      </c>
    </row>
    <row r="227" spans="1:11" s="255" customFormat="1" ht="12.75">
      <c r="A227" s="308"/>
      <c r="B227" s="251"/>
      <c r="C227" s="246"/>
      <c r="D227" s="247"/>
      <c r="E227" s="248"/>
      <c r="F227" s="248"/>
      <c r="G227" s="252"/>
      <c r="H227" s="253"/>
      <c r="I227" s="254"/>
      <c r="J227" s="254"/>
      <c r="K227" s="254"/>
    </row>
    <row r="228" spans="1:11" s="255" customFormat="1" ht="12.75">
      <c r="A228" s="308" t="s">
        <v>546</v>
      </c>
      <c r="B228" s="251" t="s">
        <v>726</v>
      </c>
      <c r="C228" s="246" t="s">
        <v>25</v>
      </c>
      <c r="D228" s="247">
        <v>2</v>
      </c>
      <c r="E228" s="248">
        <v>0</v>
      </c>
      <c r="F228" s="248">
        <f>D228*E228</f>
        <v>0</v>
      </c>
      <c r="G228" s="252" t="s">
        <v>572</v>
      </c>
      <c r="H228" s="253">
        <f>(F228/100)*G228</f>
        <v>0</v>
      </c>
      <c r="I228" s="254">
        <f>F228+H228</f>
        <v>0</v>
      </c>
      <c r="J228" s="254">
        <v>0</v>
      </c>
      <c r="K228" s="254">
        <v>0</v>
      </c>
    </row>
    <row r="229" spans="1:11" s="255" customFormat="1" ht="12.75">
      <c r="A229" s="308"/>
      <c r="B229" s="251"/>
      <c r="C229" s="246"/>
      <c r="D229" s="247"/>
      <c r="E229" s="248"/>
      <c r="F229" s="242"/>
      <c r="G229" s="252"/>
      <c r="H229" s="253"/>
      <c r="I229" s="254"/>
      <c r="J229" s="254"/>
      <c r="K229" s="254"/>
    </row>
    <row r="230" spans="1:11" s="255" customFormat="1" ht="12.75">
      <c r="A230" s="307"/>
      <c r="B230" s="251" t="s">
        <v>497</v>
      </c>
      <c r="C230" s="246"/>
      <c r="D230" s="247"/>
      <c r="E230" s="248"/>
      <c r="F230" s="242"/>
      <c r="G230" s="243"/>
      <c r="H230" s="243"/>
      <c r="I230" s="249"/>
      <c r="J230" s="249"/>
      <c r="K230" s="249"/>
    </row>
    <row r="231" spans="1:11" s="255" customFormat="1" ht="15.75">
      <c r="A231" s="309"/>
      <c r="B231" s="258" t="s">
        <v>547</v>
      </c>
      <c r="C231" s="259" t="s">
        <v>57</v>
      </c>
      <c r="D231" s="260">
        <v>1</v>
      </c>
      <c r="E231" s="261"/>
      <c r="F231" s="262">
        <f>SUM(F205:F230)</f>
        <v>0</v>
      </c>
      <c r="G231" s="263"/>
      <c r="H231" s="263">
        <f>SUM(H205:H230)</f>
        <v>0</v>
      </c>
      <c r="I231" s="264">
        <f>SUM(I204:I230)</f>
        <v>0</v>
      </c>
      <c r="J231" s="264">
        <f>SUM(J204:J230)</f>
        <v>0</v>
      </c>
      <c r="K231" s="264">
        <f>SUM(K204:K230)</f>
        <v>0</v>
      </c>
    </row>
    <row r="232" spans="1:11" s="255" customFormat="1" ht="12.75">
      <c r="A232" s="309"/>
      <c r="B232" s="251"/>
      <c r="C232" s="246"/>
      <c r="D232" s="247"/>
      <c r="E232" s="248"/>
      <c r="F232" s="242"/>
      <c r="G232" s="243"/>
      <c r="H232" s="243"/>
      <c r="I232" s="249"/>
      <c r="J232" s="249"/>
      <c r="K232" s="249"/>
    </row>
    <row r="233" spans="1:11" ht="15.75">
      <c r="A233" s="307"/>
      <c r="B233" s="245" t="s">
        <v>548</v>
      </c>
      <c r="C233" s="246"/>
      <c r="D233" s="247"/>
      <c r="E233" s="248"/>
      <c r="F233" s="242"/>
      <c r="G233" s="243"/>
      <c r="H233" s="243"/>
      <c r="I233" s="249"/>
      <c r="J233" s="249"/>
      <c r="K233" s="249"/>
    </row>
    <row r="234" spans="1:11" s="255" customFormat="1" ht="12.75">
      <c r="A234" s="308"/>
      <c r="B234" s="251"/>
      <c r="C234" s="246"/>
      <c r="D234" s="247"/>
      <c r="E234" s="248"/>
      <c r="F234" s="248"/>
      <c r="G234" s="252"/>
      <c r="H234" s="253"/>
      <c r="I234" s="254"/>
      <c r="J234" s="254"/>
      <c r="K234" s="254"/>
    </row>
    <row r="235" spans="1:11" s="255" customFormat="1" ht="25.5">
      <c r="A235" s="308" t="s">
        <v>549</v>
      </c>
      <c r="B235" s="251" t="s">
        <v>727</v>
      </c>
      <c r="C235" s="246" t="s">
        <v>25</v>
      </c>
      <c r="D235" s="247">
        <v>7</v>
      </c>
      <c r="E235" s="248">
        <v>0</v>
      </c>
      <c r="F235" s="248">
        <f>D235*E235</f>
        <v>0</v>
      </c>
      <c r="G235" s="252" t="s">
        <v>572</v>
      </c>
      <c r="H235" s="253">
        <f>(F235/100)*G235</f>
        <v>0</v>
      </c>
      <c r="I235" s="254">
        <f>F235+H235</f>
        <v>0</v>
      </c>
      <c r="J235" s="254">
        <v>0</v>
      </c>
      <c r="K235" s="254">
        <v>0</v>
      </c>
    </row>
    <row r="236" spans="1:11" s="255" customFormat="1" ht="12.75">
      <c r="A236" s="308"/>
      <c r="B236" s="251"/>
      <c r="C236" s="246"/>
      <c r="D236" s="247"/>
      <c r="E236" s="248"/>
      <c r="F236" s="248"/>
      <c r="G236" s="252"/>
      <c r="H236" s="253"/>
      <c r="I236" s="254"/>
      <c r="J236" s="254"/>
      <c r="K236" s="254"/>
    </row>
    <row r="237" spans="1:11" s="255" customFormat="1" ht="12.75">
      <c r="A237" s="308"/>
      <c r="B237" s="256" t="s">
        <v>481</v>
      </c>
      <c r="C237" s="246"/>
      <c r="D237" s="247"/>
      <c r="E237" s="248"/>
      <c r="F237" s="248"/>
      <c r="G237" s="252"/>
      <c r="H237" s="253"/>
      <c r="I237" s="254"/>
      <c r="J237" s="254"/>
      <c r="K237" s="254"/>
    </row>
    <row r="238" spans="1:11" s="255" customFormat="1" ht="12.75">
      <c r="A238" s="308"/>
      <c r="B238" s="256"/>
      <c r="C238" s="246"/>
      <c r="D238" s="247"/>
      <c r="E238" s="248"/>
      <c r="F238" s="248"/>
      <c r="G238" s="252"/>
      <c r="H238" s="253"/>
      <c r="I238" s="254"/>
      <c r="J238" s="254"/>
      <c r="K238" s="254"/>
    </row>
    <row r="239" spans="1:11" s="255" customFormat="1" ht="25.5">
      <c r="A239" s="308"/>
      <c r="B239" s="251" t="s">
        <v>728</v>
      </c>
      <c r="C239" s="246" t="s">
        <v>25</v>
      </c>
      <c r="D239" s="247">
        <v>7</v>
      </c>
      <c r="E239" s="248">
        <v>0</v>
      </c>
      <c r="F239" s="248">
        <f>D239*E239</f>
        <v>0</v>
      </c>
      <c r="G239" s="252" t="s">
        <v>572</v>
      </c>
      <c r="H239" s="253">
        <f>(F239/100)*G239</f>
        <v>0</v>
      </c>
      <c r="I239" s="254">
        <f>F239+H239</f>
        <v>0</v>
      </c>
      <c r="J239" s="254">
        <v>0</v>
      </c>
      <c r="K239" s="254">
        <v>0</v>
      </c>
    </row>
    <row r="240" spans="1:11" s="255" customFormat="1" ht="12.75">
      <c r="A240" s="308"/>
      <c r="B240" s="251" t="s">
        <v>729</v>
      </c>
      <c r="C240" s="246" t="s">
        <v>25</v>
      </c>
      <c r="D240" s="247">
        <v>7</v>
      </c>
      <c r="E240" s="248">
        <v>0</v>
      </c>
      <c r="F240" s="248">
        <f>D240*E240</f>
        <v>0</v>
      </c>
      <c r="G240" s="252" t="s">
        <v>572</v>
      </c>
      <c r="H240" s="253">
        <f>(F240/100)*G240</f>
        <v>0</v>
      </c>
      <c r="I240" s="254">
        <f>F240+H240</f>
        <v>0</v>
      </c>
      <c r="J240" s="254">
        <v>0</v>
      </c>
      <c r="K240" s="254">
        <v>0</v>
      </c>
    </row>
    <row r="241" spans="1:11" s="255" customFormat="1" ht="12.75">
      <c r="A241" s="308"/>
      <c r="B241" s="251" t="s">
        <v>730</v>
      </c>
      <c r="C241" s="246" t="s">
        <v>25</v>
      </c>
      <c r="D241" s="247">
        <v>14</v>
      </c>
      <c r="E241" s="248">
        <v>0</v>
      </c>
      <c r="F241" s="248">
        <f>D241*E241</f>
        <v>0</v>
      </c>
      <c r="G241" s="252" t="s">
        <v>572</v>
      </c>
      <c r="H241" s="253">
        <f>(F241/100)*G241</f>
        <v>0</v>
      </c>
      <c r="I241" s="254">
        <f>F241+H241</f>
        <v>0</v>
      </c>
      <c r="J241" s="254">
        <v>0</v>
      </c>
      <c r="K241" s="254">
        <v>0</v>
      </c>
    </row>
    <row r="242" spans="1:11" s="255" customFormat="1" ht="12.75">
      <c r="A242" s="308"/>
      <c r="B242" s="251"/>
      <c r="C242" s="246"/>
      <c r="D242" s="247"/>
      <c r="E242" s="248"/>
      <c r="F242" s="242"/>
      <c r="G242" s="252"/>
      <c r="H242" s="253"/>
      <c r="I242" s="254"/>
      <c r="J242" s="254"/>
      <c r="K242" s="254"/>
    </row>
    <row r="243" spans="1:11" s="255" customFormat="1" ht="25.5">
      <c r="A243" s="308" t="s">
        <v>550</v>
      </c>
      <c r="B243" s="251" t="s">
        <v>731</v>
      </c>
      <c r="C243" s="246" t="s">
        <v>25</v>
      </c>
      <c r="D243" s="247">
        <v>3</v>
      </c>
      <c r="E243" s="248">
        <v>0</v>
      </c>
      <c r="F243" s="248">
        <f>D243*E243</f>
        <v>0</v>
      </c>
      <c r="G243" s="252" t="s">
        <v>572</v>
      </c>
      <c r="H243" s="253">
        <f>(F243/100)*G243</f>
        <v>0</v>
      </c>
      <c r="I243" s="254">
        <f>F243+H243</f>
        <v>0</v>
      </c>
      <c r="J243" s="254">
        <v>0</v>
      </c>
      <c r="K243" s="254">
        <v>0</v>
      </c>
    </row>
    <row r="244" spans="1:11" s="255" customFormat="1" ht="12.75">
      <c r="A244" s="308"/>
      <c r="B244" s="251"/>
      <c r="C244" s="246"/>
      <c r="D244" s="247"/>
      <c r="E244" s="248"/>
      <c r="F244" s="248"/>
      <c r="G244" s="252"/>
      <c r="H244" s="253"/>
      <c r="I244" s="254"/>
      <c r="J244" s="254"/>
      <c r="K244" s="254"/>
    </row>
    <row r="245" spans="1:11" s="255" customFormat="1" ht="12.75">
      <c r="A245" s="308"/>
      <c r="B245" s="256" t="s">
        <v>481</v>
      </c>
      <c r="C245" s="246"/>
      <c r="D245" s="247"/>
      <c r="E245" s="248"/>
      <c r="F245" s="248"/>
      <c r="G245" s="252"/>
      <c r="H245" s="253"/>
      <c r="I245" s="254"/>
      <c r="J245" s="254"/>
      <c r="K245" s="254"/>
    </row>
    <row r="246" spans="1:11" s="255" customFormat="1" ht="12.75">
      <c r="A246" s="308"/>
      <c r="B246" s="256"/>
      <c r="C246" s="246"/>
      <c r="D246" s="247"/>
      <c r="E246" s="248"/>
      <c r="F246" s="248"/>
      <c r="G246" s="252"/>
      <c r="H246" s="253"/>
      <c r="I246" s="254"/>
      <c r="J246" s="254"/>
      <c r="K246" s="254"/>
    </row>
    <row r="247" spans="1:11" s="255" customFormat="1" ht="25.5">
      <c r="A247" s="308"/>
      <c r="B247" s="251" t="s">
        <v>728</v>
      </c>
      <c r="C247" s="246" t="s">
        <v>25</v>
      </c>
      <c r="D247" s="247">
        <v>3</v>
      </c>
      <c r="E247" s="248">
        <v>0</v>
      </c>
      <c r="F247" s="248">
        <f>D247*E247</f>
        <v>0</v>
      </c>
      <c r="G247" s="252" t="s">
        <v>572</v>
      </c>
      <c r="H247" s="253">
        <f>(F247/100)*G247</f>
        <v>0</v>
      </c>
      <c r="I247" s="254">
        <f>F247+H247</f>
        <v>0</v>
      </c>
      <c r="J247" s="254">
        <v>0</v>
      </c>
      <c r="K247" s="254">
        <v>0</v>
      </c>
    </row>
    <row r="248" spans="1:11" s="255" customFormat="1" ht="12.75">
      <c r="A248" s="308"/>
      <c r="B248" s="251" t="s">
        <v>732</v>
      </c>
      <c r="C248" s="246" t="s">
        <v>25</v>
      </c>
      <c r="D248" s="247">
        <v>3</v>
      </c>
      <c r="E248" s="248">
        <v>0</v>
      </c>
      <c r="F248" s="248">
        <f>D248*E248</f>
        <v>0</v>
      </c>
      <c r="G248" s="252" t="s">
        <v>572</v>
      </c>
      <c r="H248" s="253">
        <f>(F248/100)*G248</f>
        <v>0</v>
      </c>
      <c r="I248" s="254">
        <f>F248+H248</f>
        <v>0</v>
      </c>
      <c r="J248" s="254">
        <v>0</v>
      </c>
      <c r="K248" s="254">
        <v>0</v>
      </c>
    </row>
    <row r="249" spans="1:11" s="255" customFormat="1" ht="12.75">
      <c r="A249" s="308"/>
      <c r="B249" s="251" t="s">
        <v>733</v>
      </c>
      <c r="C249" s="246" t="s">
        <v>25</v>
      </c>
      <c r="D249" s="247">
        <v>6</v>
      </c>
      <c r="E249" s="248">
        <v>0</v>
      </c>
      <c r="F249" s="248">
        <f>D249*E249</f>
        <v>0</v>
      </c>
      <c r="G249" s="252" t="s">
        <v>572</v>
      </c>
      <c r="H249" s="253">
        <f>(F249/100)*G249</f>
        <v>0</v>
      </c>
      <c r="I249" s="254">
        <f>F249+H249</f>
        <v>0</v>
      </c>
      <c r="J249" s="254">
        <v>0</v>
      </c>
      <c r="K249" s="254">
        <v>0</v>
      </c>
    </row>
    <row r="250" spans="1:11" s="255" customFormat="1" ht="12.75">
      <c r="A250" s="308"/>
      <c r="B250" s="251"/>
      <c r="C250" s="246"/>
      <c r="D250" s="247"/>
      <c r="E250" s="248"/>
      <c r="F250" s="242"/>
      <c r="G250" s="252"/>
      <c r="H250" s="253"/>
      <c r="I250" s="254"/>
      <c r="J250" s="254"/>
      <c r="K250" s="254"/>
    </row>
    <row r="251" spans="1:11" s="255" customFormat="1" ht="25.5">
      <c r="A251" s="308" t="s">
        <v>734</v>
      </c>
      <c r="B251" s="251" t="s">
        <v>735</v>
      </c>
      <c r="C251" s="246" t="s">
        <v>25</v>
      </c>
      <c r="D251" s="247">
        <v>2</v>
      </c>
      <c r="E251" s="248">
        <v>0</v>
      </c>
      <c r="F251" s="248">
        <f>D251*E251</f>
        <v>0</v>
      </c>
      <c r="G251" s="252" t="s">
        <v>572</v>
      </c>
      <c r="H251" s="253">
        <f>(F251/100)*G251</f>
        <v>0</v>
      </c>
      <c r="I251" s="254">
        <f>F251+H251</f>
        <v>0</v>
      </c>
      <c r="J251" s="254">
        <v>0</v>
      </c>
      <c r="K251" s="254">
        <v>0</v>
      </c>
    </row>
    <row r="252" spans="1:11" s="255" customFormat="1" ht="12.75">
      <c r="A252" s="308"/>
      <c r="B252" s="251"/>
      <c r="C252" s="246"/>
      <c r="D252" s="247"/>
      <c r="E252" s="248"/>
      <c r="F252" s="248"/>
      <c r="G252" s="252"/>
      <c r="H252" s="253"/>
      <c r="I252" s="254"/>
      <c r="J252" s="254"/>
      <c r="K252" s="254"/>
    </row>
    <row r="253" spans="1:11" s="255" customFormat="1" ht="12.75">
      <c r="A253" s="308"/>
      <c r="B253" s="256" t="s">
        <v>481</v>
      </c>
      <c r="C253" s="246"/>
      <c r="D253" s="247"/>
      <c r="E253" s="248"/>
      <c r="F253" s="248"/>
      <c r="G253" s="252"/>
      <c r="H253" s="253"/>
      <c r="I253" s="254"/>
      <c r="J253" s="254"/>
      <c r="K253" s="254"/>
    </row>
    <row r="254" spans="1:11" s="255" customFormat="1" ht="12.75">
      <c r="A254" s="308"/>
      <c r="B254" s="256"/>
      <c r="C254" s="246"/>
      <c r="D254" s="247"/>
      <c r="E254" s="248"/>
      <c r="F254" s="248"/>
      <c r="G254" s="252"/>
      <c r="H254" s="253"/>
      <c r="I254" s="254"/>
      <c r="J254" s="254"/>
      <c r="K254" s="254"/>
    </row>
    <row r="255" spans="1:11" s="255" customFormat="1" ht="25.5">
      <c r="A255" s="308"/>
      <c r="B255" s="251" t="s">
        <v>728</v>
      </c>
      <c r="C255" s="246" t="s">
        <v>25</v>
      </c>
      <c r="D255" s="247">
        <v>2</v>
      </c>
      <c r="E255" s="248">
        <v>0</v>
      </c>
      <c r="F255" s="248">
        <f>D255*E255</f>
        <v>0</v>
      </c>
      <c r="G255" s="252" t="s">
        <v>572</v>
      </c>
      <c r="H255" s="253">
        <f>(F255/100)*G255</f>
        <v>0</v>
      </c>
      <c r="I255" s="254">
        <f>F255+H255</f>
        <v>0</v>
      </c>
      <c r="J255" s="254">
        <v>0</v>
      </c>
      <c r="K255" s="254">
        <v>0</v>
      </c>
    </row>
    <row r="256" spans="1:11" s="255" customFormat="1" ht="12.75">
      <c r="A256" s="308"/>
      <c r="B256" s="251" t="s">
        <v>736</v>
      </c>
      <c r="C256" s="246" t="s">
        <v>25</v>
      </c>
      <c r="D256" s="247">
        <v>2</v>
      </c>
      <c r="E256" s="248">
        <v>0</v>
      </c>
      <c r="F256" s="248">
        <f>D256*E256</f>
        <v>0</v>
      </c>
      <c r="G256" s="252" t="s">
        <v>572</v>
      </c>
      <c r="H256" s="253">
        <f>(F256/100)*G256</f>
        <v>0</v>
      </c>
      <c r="I256" s="254">
        <f>F256+H256</f>
        <v>0</v>
      </c>
      <c r="J256" s="254">
        <v>0</v>
      </c>
      <c r="K256" s="254">
        <v>0</v>
      </c>
    </row>
    <row r="257" spans="1:11" s="255" customFormat="1" ht="12.75">
      <c r="A257" s="308"/>
      <c r="B257" s="251" t="s">
        <v>737</v>
      </c>
      <c r="C257" s="246" t="s">
        <v>25</v>
      </c>
      <c r="D257" s="247">
        <v>4</v>
      </c>
      <c r="E257" s="248">
        <v>0</v>
      </c>
      <c r="F257" s="248">
        <f>D257*E257</f>
        <v>0</v>
      </c>
      <c r="G257" s="252" t="s">
        <v>572</v>
      </c>
      <c r="H257" s="253">
        <f>(F257/100)*G257</f>
        <v>0</v>
      </c>
      <c r="I257" s="254">
        <f>F257+H257</f>
        <v>0</v>
      </c>
      <c r="J257" s="254">
        <v>0</v>
      </c>
      <c r="K257" s="254">
        <v>0</v>
      </c>
    </row>
    <row r="258" spans="1:11" s="255" customFormat="1" ht="12.75">
      <c r="A258" s="308"/>
      <c r="B258" s="251"/>
      <c r="C258" s="246"/>
      <c r="D258" s="247"/>
      <c r="E258" s="248"/>
      <c r="F258" s="248"/>
      <c r="G258" s="252"/>
      <c r="H258" s="253"/>
      <c r="I258" s="254"/>
      <c r="J258" s="254"/>
      <c r="K258" s="254"/>
    </row>
    <row r="259" spans="1:11" s="255" customFormat="1" ht="38.25">
      <c r="A259" s="308" t="s">
        <v>551</v>
      </c>
      <c r="B259" s="251" t="s">
        <v>738</v>
      </c>
      <c r="C259" s="246" t="s">
        <v>25</v>
      </c>
      <c r="D259" s="247">
        <v>52</v>
      </c>
      <c r="E259" s="248">
        <v>0</v>
      </c>
      <c r="F259" s="248">
        <f>D259*E259</f>
        <v>0</v>
      </c>
      <c r="G259" s="252" t="s">
        <v>572</v>
      </c>
      <c r="H259" s="253">
        <f>(F259/100)*G259</f>
        <v>0</v>
      </c>
      <c r="I259" s="254">
        <f>F259+H259</f>
        <v>0</v>
      </c>
      <c r="J259" s="254">
        <v>0</v>
      </c>
      <c r="K259" s="254">
        <v>0</v>
      </c>
    </row>
    <row r="260" spans="1:11" s="255" customFormat="1" ht="12.75">
      <c r="A260" s="308"/>
      <c r="B260" s="251"/>
      <c r="C260" s="246"/>
      <c r="D260" s="247"/>
      <c r="E260" s="248"/>
      <c r="F260" s="248"/>
      <c r="G260" s="252"/>
      <c r="H260" s="253"/>
      <c r="I260" s="254"/>
      <c r="J260" s="254"/>
      <c r="K260" s="254"/>
    </row>
    <row r="261" spans="1:11" s="255" customFormat="1" ht="13.5" customHeight="1">
      <c r="A261" s="307"/>
      <c r="B261" s="256" t="s">
        <v>481</v>
      </c>
      <c r="C261" s="246"/>
      <c r="D261" s="247"/>
      <c r="E261" s="248"/>
      <c r="F261" s="242"/>
      <c r="G261" s="243"/>
      <c r="H261" s="243"/>
      <c r="I261" s="249"/>
      <c r="J261" s="249"/>
      <c r="K261" s="249"/>
    </row>
    <row r="262" spans="1:11" s="255" customFormat="1" ht="13.5" customHeight="1">
      <c r="A262" s="307"/>
      <c r="B262" s="256"/>
      <c r="C262" s="246"/>
      <c r="D262" s="247"/>
      <c r="E262" s="248"/>
      <c r="F262" s="242"/>
      <c r="G262" s="243"/>
      <c r="H262" s="243"/>
      <c r="I262" s="249"/>
      <c r="J262" s="249"/>
      <c r="K262" s="249"/>
    </row>
    <row r="263" spans="1:11" s="255" customFormat="1" ht="13.5" customHeight="1">
      <c r="A263" s="307"/>
      <c r="B263" s="251" t="s">
        <v>552</v>
      </c>
      <c r="C263" s="246"/>
      <c r="D263" s="247"/>
      <c r="E263" s="248"/>
      <c r="F263" s="242"/>
      <c r="G263" s="243"/>
      <c r="H263" s="243"/>
      <c r="I263" s="249"/>
      <c r="J263" s="249"/>
      <c r="K263" s="249"/>
    </row>
    <row r="264" spans="1:11" s="255" customFormat="1" ht="13.5" customHeight="1">
      <c r="A264" s="307"/>
      <c r="B264" s="251"/>
      <c r="C264" s="246"/>
      <c r="D264" s="247"/>
      <c r="E264" s="248"/>
      <c r="F264" s="242"/>
      <c r="G264" s="243"/>
      <c r="H264" s="243"/>
      <c r="I264" s="249"/>
      <c r="J264" s="249"/>
      <c r="K264" s="249"/>
    </row>
    <row r="265" spans="1:11" s="255" customFormat="1" ht="12.75">
      <c r="A265" s="308" t="s">
        <v>553</v>
      </c>
      <c r="B265" s="251" t="s">
        <v>739</v>
      </c>
      <c r="C265" s="246" t="s">
        <v>25</v>
      </c>
      <c r="D265" s="247">
        <v>7</v>
      </c>
      <c r="E265" s="248">
        <v>0</v>
      </c>
      <c r="F265" s="248">
        <f>D265*E265</f>
        <v>0</v>
      </c>
      <c r="G265" s="252" t="s">
        <v>572</v>
      </c>
      <c r="H265" s="253">
        <f>(F265/100)*G265</f>
        <v>0</v>
      </c>
      <c r="I265" s="254">
        <f>F265+H265</f>
        <v>0</v>
      </c>
      <c r="J265" s="254">
        <v>0</v>
      </c>
      <c r="K265" s="254">
        <v>0</v>
      </c>
    </row>
    <row r="266" spans="1:11" s="255" customFormat="1" ht="13.5" customHeight="1">
      <c r="A266" s="307"/>
      <c r="B266" s="251"/>
      <c r="C266" s="246"/>
      <c r="D266" s="247"/>
      <c r="E266" s="248"/>
      <c r="F266" s="242"/>
      <c r="G266" s="243"/>
      <c r="H266" s="243"/>
      <c r="I266" s="249"/>
      <c r="J266" s="249"/>
      <c r="K266" s="249"/>
    </row>
    <row r="267" spans="1:11" s="255" customFormat="1" ht="12.75">
      <c r="A267" s="308" t="s">
        <v>554</v>
      </c>
      <c r="B267" s="251" t="s">
        <v>740</v>
      </c>
      <c r="C267" s="246" t="s">
        <v>25</v>
      </c>
      <c r="D267" s="247">
        <v>3</v>
      </c>
      <c r="E267" s="248">
        <v>0</v>
      </c>
      <c r="F267" s="248">
        <f>D267*E267</f>
        <v>0</v>
      </c>
      <c r="G267" s="252" t="s">
        <v>572</v>
      </c>
      <c r="H267" s="253">
        <f>(F267/100)*G267</f>
        <v>0</v>
      </c>
      <c r="I267" s="254">
        <f>F267+H267</f>
        <v>0</v>
      </c>
      <c r="J267" s="254">
        <v>0</v>
      </c>
      <c r="K267" s="254">
        <v>0</v>
      </c>
    </row>
    <row r="268" spans="1:11" s="255" customFormat="1" ht="12.75">
      <c r="A268" s="308"/>
      <c r="B268" s="251"/>
      <c r="C268" s="246"/>
      <c r="D268" s="247"/>
      <c r="E268" s="248"/>
      <c r="F268" s="242"/>
      <c r="G268" s="252"/>
      <c r="H268" s="253"/>
      <c r="I268" s="254"/>
      <c r="J268" s="254"/>
      <c r="K268" s="254"/>
    </row>
    <row r="269" spans="1:11" s="255" customFormat="1" ht="12.75">
      <c r="A269" s="308" t="s">
        <v>555</v>
      </c>
      <c r="B269" s="251" t="s">
        <v>556</v>
      </c>
      <c r="C269" s="246" t="s">
        <v>25</v>
      </c>
      <c r="D269" s="247">
        <v>29</v>
      </c>
      <c r="E269" s="248">
        <v>0</v>
      </c>
      <c r="F269" s="248">
        <f>D269*E269</f>
        <v>0</v>
      </c>
      <c r="G269" s="252" t="s">
        <v>572</v>
      </c>
      <c r="H269" s="253">
        <f>(F269/100)*G269</f>
        <v>0</v>
      </c>
      <c r="I269" s="254">
        <f>F269+H269</f>
        <v>0</v>
      </c>
      <c r="J269" s="254">
        <v>0</v>
      </c>
      <c r="K269" s="254">
        <v>0</v>
      </c>
    </row>
    <row r="270" spans="1:11" s="255" customFormat="1" ht="12.75">
      <c r="A270" s="308"/>
      <c r="B270" s="251"/>
      <c r="C270" s="246"/>
      <c r="D270" s="247"/>
      <c r="E270" s="248"/>
      <c r="F270" s="248"/>
      <c r="G270" s="252"/>
      <c r="H270" s="253"/>
      <c r="I270" s="254"/>
      <c r="J270" s="254"/>
      <c r="K270" s="254"/>
    </row>
    <row r="271" spans="1:11" s="255" customFormat="1" ht="12.75">
      <c r="A271" s="308" t="s">
        <v>741</v>
      </c>
      <c r="B271" s="251" t="s">
        <v>742</v>
      </c>
      <c r="C271" s="246" t="s">
        <v>25</v>
      </c>
      <c r="D271" s="247">
        <v>2</v>
      </c>
      <c r="E271" s="248">
        <v>0</v>
      </c>
      <c r="F271" s="248">
        <f>D271*E271</f>
        <v>0</v>
      </c>
      <c r="G271" s="252" t="s">
        <v>572</v>
      </c>
      <c r="H271" s="253">
        <f>(F271/100)*G271</f>
        <v>0</v>
      </c>
      <c r="I271" s="254">
        <f>F271+H271</f>
        <v>0</v>
      </c>
      <c r="J271" s="254">
        <v>0</v>
      </c>
      <c r="K271" s="254">
        <v>0</v>
      </c>
    </row>
    <row r="272" spans="1:11" s="255" customFormat="1" ht="12.75">
      <c r="A272" s="308"/>
      <c r="B272" s="251"/>
      <c r="C272" s="246"/>
      <c r="D272" s="247"/>
      <c r="E272" s="248"/>
      <c r="F272" s="248"/>
      <c r="G272" s="252"/>
      <c r="H272" s="253"/>
      <c r="I272" s="254"/>
      <c r="J272" s="254"/>
      <c r="K272" s="254"/>
    </row>
    <row r="273" spans="1:11" s="255" customFormat="1" ht="12.75">
      <c r="A273" s="308" t="s">
        <v>557</v>
      </c>
      <c r="B273" s="251" t="s">
        <v>743</v>
      </c>
      <c r="C273" s="246" t="s">
        <v>25</v>
      </c>
      <c r="D273" s="247">
        <v>47</v>
      </c>
      <c r="E273" s="248">
        <v>0</v>
      </c>
      <c r="F273" s="242">
        <f>D273*E273</f>
        <v>0</v>
      </c>
      <c r="G273" s="252" t="s">
        <v>572</v>
      </c>
      <c r="H273" s="253">
        <f>(F273/100)*G273</f>
        <v>0</v>
      </c>
      <c r="I273" s="254">
        <f>F273+H273</f>
        <v>0</v>
      </c>
      <c r="J273" s="254">
        <v>0</v>
      </c>
      <c r="K273" s="254">
        <v>0</v>
      </c>
    </row>
    <row r="274" spans="1:11" s="255" customFormat="1" ht="12.75">
      <c r="A274" s="308"/>
      <c r="B274" s="251"/>
      <c r="C274" s="246"/>
      <c r="D274" s="247"/>
      <c r="E274" s="248"/>
      <c r="F274" s="242"/>
      <c r="G274" s="252"/>
      <c r="H274" s="253"/>
      <c r="I274" s="254"/>
      <c r="J274" s="254"/>
      <c r="K274" s="254"/>
    </row>
    <row r="275" spans="1:11" s="255" customFormat="1" ht="12.75">
      <c r="A275" s="308" t="s">
        <v>558</v>
      </c>
      <c r="B275" s="251" t="s">
        <v>559</v>
      </c>
      <c r="C275" s="246" t="s">
        <v>25</v>
      </c>
      <c r="D275" s="247">
        <v>12</v>
      </c>
      <c r="E275" s="248">
        <v>0</v>
      </c>
      <c r="F275" s="248">
        <f>D275*E275</f>
        <v>0</v>
      </c>
      <c r="G275" s="252" t="s">
        <v>572</v>
      </c>
      <c r="H275" s="253">
        <f>(F275/100)*G275</f>
        <v>0</v>
      </c>
      <c r="I275" s="254">
        <f>F275+H275</f>
        <v>0</v>
      </c>
      <c r="J275" s="254">
        <v>0</v>
      </c>
      <c r="K275" s="254">
        <v>0</v>
      </c>
    </row>
    <row r="276" spans="1:11" s="255" customFormat="1" ht="12.75">
      <c r="A276" s="308"/>
      <c r="B276" s="251"/>
      <c r="C276" s="246"/>
      <c r="D276" s="247"/>
      <c r="E276" s="248"/>
      <c r="F276" s="248"/>
      <c r="G276" s="252"/>
      <c r="H276" s="253"/>
      <c r="I276" s="254"/>
      <c r="J276" s="254"/>
      <c r="K276" s="254"/>
    </row>
    <row r="277" spans="1:11" s="255" customFormat="1" ht="12.75">
      <c r="A277" s="308" t="s">
        <v>560</v>
      </c>
      <c r="B277" s="251" t="s">
        <v>744</v>
      </c>
      <c r="C277" s="246" t="s">
        <v>25</v>
      </c>
      <c r="D277" s="247">
        <v>20</v>
      </c>
      <c r="E277" s="248">
        <v>0</v>
      </c>
      <c r="F277" s="248">
        <f>D277*E277</f>
        <v>0</v>
      </c>
      <c r="G277" s="252" t="s">
        <v>572</v>
      </c>
      <c r="H277" s="253">
        <f>(F277/100)*G277</f>
        <v>0</v>
      </c>
      <c r="I277" s="254">
        <f>F277+H277</f>
        <v>0</v>
      </c>
      <c r="J277" s="254">
        <v>0</v>
      </c>
      <c r="K277" s="254">
        <v>0</v>
      </c>
    </row>
    <row r="278" spans="1:11" s="255" customFormat="1" ht="12.75">
      <c r="A278" s="308"/>
      <c r="B278" s="251"/>
      <c r="C278" s="246"/>
      <c r="D278" s="247"/>
      <c r="E278" s="248"/>
      <c r="F278" s="248"/>
      <c r="G278" s="252"/>
      <c r="H278" s="253"/>
      <c r="I278" s="254"/>
      <c r="J278" s="254"/>
      <c r="K278" s="254"/>
    </row>
    <row r="279" spans="1:11" s="255" customFormat="1" ht="12.75">
      <c r="A279" s="308" t="s">
        <v>745</v>
      </c>
      <c r="B279" t="s">
        <v>746</v>
      </c>
      <c r="C279" s="246" t="s">
        <v>25</v>
      </c>
      <c r="D279" s="247">
        <v>8</v>
      </c>
      <c r="E279" s="248">
        <v>0</v>
      </c>
      <c r="F279" s="242">
        <f>D279*E279</f>
        <v>0</v>
      </c>
      <c r="G279" s="252" t="s">
        <v>572</v>
      </c>
      <c r="H279" s="253">
        <f>(F279/100)*G279</f>
        <v>0</v>
      </c>
      <c r="I279" s="254">
        <f>F279+H279</f>
        <v>0</v>
      </c>
      <c r="J279" s="254">
        <v>0</v>
      </c>
      <c r="K279" s="254">
        <v>0</v>
      </c>
    </row>
    <row r="280" spans="1:11" s="255" customFormat="1" ht="12.75">
      <c r="A280" s="308"/>
      <c r="B280"/>
      <c r="C280" s="246"/>
      <c r="D280" s="247"/>
      <c r="E280" s="248"/>
      <c r="F280" s="242"/>
      <c r="G280" s="252"/>
      <c r="H280" s="253"/>
      <c r="I280" s="254"/>
      <c r="J280" s="254"/>
      <c r="K280" s="254"/>
    </row>
    <row r="281" spans="1:11" s="255" customFormat="1" ht="12" customHeight="1">
      <c r="A281" s="308" t="s">
        <v>747</v>
      </c>
      <c r="B281" s="251" t="s">
        <v>723</v>
      </c>
      <c r="C281" s="246" t="s">
        <v>25</v>
      </c>
      <c r="D281" s="247">
        <v>2</v>
      </c>
      <c r="E281" s="248">
        <v>0</v>
      </c>
      <c r="F281" s="248">
        <f>D281*E281</f>
        <v>0</v>
      </c>
      <c r="G281" s="252" t="s">
        <v>572</v>
      </c>
      <c r="H281" s="253">
        <f>(F281/100)*G281</f>
        <v>0</v>
      </c>
      <c r="I281" s="254">
        <f>F281+H281</f>
        <v>0</v>
      </c>
      <c r="J281" s="254">
        <v>0</v>
      </c>
      <c r="K281" s="254">
        <v>0</v>
      </c>
    </row>
    <row r="282" spans="1:11" s="255" customFormat="1" ht="12" customHeight="1">
      <c r="A282" s="308"/>
      <c r="B282" s="251"/>
      <c r="C282" s="246"/>
      <c r="D282" s="247"/>
      <c r="E282" s="248"/>
      <c r="F282" s="248"/>
      <c r="G282" s="252"/>
      <c r="H282" s="253"/>
      <c r="I282" s="254"/>
      <c r="J282" s="254"/>
      <c r="K282" s="254"/>
    </row>
    <row r="283" spans="1:11" s="255" customFormat="1" ht="25.5">
      <c r="A283" s="308" t="s">
        <v>748</v>
      </c>
      <c r="B283" s="251" t="s">
        <v>749</v>
      </c>
      <c r="C283" s="246" t="s">
        <v>25</v>
      </c>
      <c r="D283" s="247">
        <v>6</v>
      </c>
      <c r="E283" s="248">
        <v>0</v>
      </c>
      <c r="F283" s="248">
        <f>D283*E283</f>
        <v>0</v>
      </c>
      <c r="G283" s="252" t="s">
        <v>572</v>
      </c>
      <c r="H283" s="253">
        <f>(F283/100)*G283</f>
        <v>0</v>
      </c>
      <c r="I283" s="254">
        <f>F283+H283</f>
        <v>0</v>
      </c>
      <c r="J283" s="254">
        <v>0</v>
      </c>
      <c r="K283" s="254">
        <v>0</v>
      </c>
    </row>
    <row r="284" spans="1:11" s="255" customFormat="1" ht="12" customHeight="1">
      <c r="A284" s="308"/>
      <c r="B284" s="251"/>
      <c r="C284" s="246"/>
      <c r="D284" s="247"/>
      <c r="E284" s="248"/>
      <c r="F284" s="248"/>
      <c r="G284" s="252"/>
      <c r="H284" s="253"/>
      <c r="I284" s="254"/>
      <c r="J284" s="254"/>
      <c r="K284" s="254"/>
    </row>
    <row r="285" spans="1:11" s="255" customFormat="1" ht="12.75">
      <c r="A285" s="307"/>
      <c r="B285" s="251" t="s">
        <v>497</v>
      </c>
      <c r="C285" s="246"/>
      <c r="D285" s="247"/>
      <c r="E285" s="248"/>
      <c r="F285" s="242"/>
      <c r="G285" s="243"/>
      <c r="H285" s="243"/>
      <c r="I285" s="249"/>
      <c r="J285" s="249"/>
      <c r="K285" s="249"/>
    </row>
    <row r="286" spans="1:11" s="255" customFormat="1" ht="15.75">
      <c r="A286" s="309"/>
      <c r="B286" s="258" t="s">
        <v>561</v>
      </c>
      <c r="C286" s="259" t="s">
        <v>57</v>
      </c>
      <c r="D286" s="260">
        <v>1</v>
      </c>
      <c r="E286" s="261"/>
      <c r="F286" s="262">
        <f>SUM(F234:F285)</f>
        <v>0</v>
      </c>
      <c r="G286" s="263"/>
      <c r="H286" s="263">
        <f>SUM(H234:H285)</f>
        <v>0</v>
      </c>
      <c r="I286" s="264">
        <f>SUM(I233:I285)</f>
        <v>0</v>
      </c>
      <c r="J286" s="264">
        <f>SUM(J233:J285)</f>
        <v>0</v>
      </c>
      <c r="K286" s="264">
        <f>SUM(K233:K285)</f>
        <v>0</v>
      </c>
    </row>
    <row r="287" spans="1:11" s="255" customFormat="1" ht="12.75">
      <c r="A287" s="309"/>
      <c r="B287" s="251"/>
      <c r="C287" s="246"/>
      <c r="D287" s="247"/>
      <c r="E287" s="248"/>
      <c r="F287" s="242"/>
      <c r="G287" s="243"/>
      <c r="H287" s="243"/>
      <c r="I287" s="249"/>
      <c r="J287" s="249"/>
      <c r="K287" s="249"/>
    </row>
    <row r="288" spans="1:11" ht="15.75">
      <c r="A288" s="307"/>
      <c r="B288" s="245" t="s">
        <v>750</v>
      </c>
      <c r="C288" s="246"/>
      <c r="D288" s="247"/>
      <c r="E288" s="248"/>
      <c r="F288" s="242"/>
      <c r="G288" s="243"/>
      <c r="H288" s="243"/>
      <c r="I288" s="249"/>
      <c r="J288" s="249"/>
      <c r="K288" s="249"/>
    </row>
    <row r="289" spans="1:11" s="255" customFormat="1" ht="12.75">
      <c r="A289" s="308"/>
      <c r="B289" s="251"/>
      <c r="C289" s="246"/>
      <c r="D289" s="247"/>
      <c r="E289" s="248"/>
      <c r="F289" s="248"/>
      <c r="G289" s="252"/>
      <c r="H289" s="253"/>
      <c r="I289" s="254"/>
      <c r="J289" s="254"/>
      <c r="K289" s="254"/>
    </row>
    <row r="290" spans="1:11" ht="15.75">
      <c r="A290" s="307"/>
      <c r="B290" s="245" t="s">
        <v>751</v>
      </c>
      <c r="C290" s="246"/>
      <c r="D290" s="247"/>
      <c r="E290" s="248"/>
      <c r="F290" s="242"/>
      <c r="G290" s="243"/>
      <c r="H290" s="243"/>
      <c r="I290" s="249"/>
      <c r="J290" s="249"/>
      <c r="K290" s="249"/>
    </row>
    <row r="291" spans="1:11" s="255" customFormat="1" ht="12.75">
      <c r="A291" s="308"/>
      <c r="B291" s="251"/>
      <c r="C291" s="246"/>
      <c r="D291" s="247"/>
      <c r="E291" s="248"/>
      <c r="F291" s="248"/>
      <c r="G291" s="252"/>
      <c r="H291" s="253"/>
      <c r="I291" s="254"/>
      <c r="J291" s="254"/>
      <c r="K291" s="254"/>
    </row>
    <row r="292" spans="1:11" ht="15.75">
      <c r="A292" s="307"/>
      <c r="B292" s="245" t="s">
        <v>752</v>
      </c>
      <c r="C292" s="246"/>
      <c r="D292" s="247"/>
      <c r="E292" s="248"/>
      <c r="F292" s="242"/>
      <c r="G292" s="243"/>
      <c r="H292" s="243"/>
      <c r="I292" s="249"/>
      <c r="J292" s="249"/>
      <c r="K292" s="249"/>
    </row>
    <row r="293" spans="1:11" s="255" customFormat="1" ht="12.75">
      <c r="A293" s="308"/>
      <c r="B293" s="251"/>
      <c r="C293" s="246"/>
      <c r="D293" s="247"/>
      <c r="E293" s="248"/>
      <c r="F293" s="248"/>
      <c r="G293" s="252"/>
      <c r="H293" s="253"/>
      <c r="I293" s="254"/>
      <c r="J293" s="254"/>
      <c r="K293" s="254"/>
    </row>
    <row r="294" spans="1:11" ht="31.5">
      <c r="A294" s="307"/>
      <c r="B294" s="245" t="s">
        <v>562</v>
      </c>
      <c r="C294" s="246"/>
      <c r="D294" s="247"/>
      <c r="E294" s="248"/>
      <c r="F294" s="242"/>
      <c r="G294" s="243"/>
      <c r="H294" s="243"/>
      <c r="I294" s="249"/>
      <c r="J294" s="249"/>
      <c r="K294" s="249"/>
    </row>
    <row r="295" spans="1:11" s="255" customFormat="1" ht="12.75">
      <c r="A295" s="308"/>
      <c r="B295" s="251"/>
      <c r="C295" s="246"/>
      <c r="D295" s="247"/>
      <c r="E295" s="248"/>
      <c r="F295" s="248"/>
      <c r="G295" s="252"/>
      <c r="H295" s="253"/>
      <c r="I295" s="254"/>
      <c r="J295" s="254"/>
      <c r="K295" s="254"/>
    </row>
    <row r="296" spans="1:11" s="255" customFormat="1" ht="25.5">
      <c r="A296" s="308" t="s">
        <v>563</v>
      </c>
      <c r="B296" s="251" t="s">
        <v>753</v>
      </c>
      <c r="C296" s="246" t="s">
        <v>25</v>
      </c>
      <c r="D296" s="247">
        <v>1</v>
      </c>
      <c r="E296" s="248">
        <v>0</v>
      </c>
      <c r="F296" s="248">
        <f>D296*E296</f>
        <v>0</v>
      </c>
      <c r="G296" s="252" t="s">
        <v>572</v>
      </c>
      <c r="H296" s="253">
        <f>(F296/100)*G296</f>
        <v>0</v>
      </c>
      <c r="I296" s="254">
        <f>F296+H296</f>
        <v>0</v>
      </c>
      <c r="J296" s="254">
        <v>0</v>
      </c>
      <c r="K296" s="254">
        <v>0</v>
      </c>
    </row>
    <row r="297" spans="1:11" s="255" customFormat="1" ht="12.75">
      <c r="A297" s="308"/>
      <c r="B297" s="251"/>
      <c r="C297" s="246"/>
      <c r="D297" s="247"/>
      <c r="E297" s="248"/>
      <c r="F297" s="248"/>
      <c r="G297" s="252"/>
      <c r="H297" s="253"/>
      <c r="I297" s="254"/>
      <c r="J297" s="254"/>
      <c r="K297" s="254"/>
    </row>
    <row r="298" spans="1:11" s="255" customFormat="1" ht="13.5" customHeight="1">
      <c r="A298" s="307"/>
      <c r="B298" s="256" t="s">
        <v>481</v>
      </c>
      <c r="C298" s="246"/>
      <c r="D298" s="247"/>
      <c r="E298" s="248"/>
      <c r="F298" s="242"/>
      <c r="G298" s="243"/>
      <c r="H298" s="243"/>
      <c r="I298" s="249"/>
      <c r="J298" s="249"/>
      <c r="K298" s="249"/>
    </row>
    <row r="299" spans="1:11" s="255" customFormat="1" ht="12.75">
      <c r="A299" s="308"/>
      <c r="B299" s="251"/>
      <c r="C299" s="246"/>
      <c r="D299" s="247"/>
      <c r="E299" s="248"/>
      <c r="F299" s="242"/>
      <c r="G299" s="252"/>
      <c r="H299" s="253"/>
      <c r="I299" s="254"/>
      <c r="J299" s="254"/>
      <c r="K299" s="254"/>
    </row>
    <row r="300" spans="1:11" s="255" customFormat="1" ht="12.75">
      <c r="A300" s="308"/>
      <c r="B300" s="251" t="s">
        <v>754</v>
      </c>
      <c r="C300" s="246" t="s">
        <v>25</v>
      </c>
      <c r="D300" s="247">
        <v>1</v>
      </c>
      <c r="E300" s="248">
        <v>0</v>
      </c>
      <c r="F300" s="248">
        <f>D300*E300</f>
        <v>0</v>
      </c>
      <c r="G300" s="252" t="s">
        <v>572</v>
      </c>
      <c r="H300" s="253">
        <f>(F300/100)*G300</f>
        <v>0</v>
      </c>
      <c r="I300" s="254">
        <f>F300+H300</f>
        <v>0</v>
      </c>
      <c r="J300" s="254">
        <v>0</v>
      </c>
      <c r="K300" s="254">
        <v>0</v>
      </c>
    </row>
    <row r="301" spans="1:11" s="255" customFormat="1" ht="12.75">
      <c r="A301" s="308"/>
      <c r="B301" s="251"/>
      <c r="C301" s="246"/>
      <c r="D301" s="247"/>
      <c r="E301" s="248"/>
      <c r="F301" s="248"/>
      <c r="G301" s="252"/>
      <c r="H301" s="253"/>
      <c r="I301" s="254"/>
      <c r="J301" s="254"/>
      <c r="K301" s="254"/>
    </row>
    <row r="302" spans="1:11" s="255" customFormat="1" ht="12.75">
      <c r="A302" s="308"/>
      <c r="B302" s="251" t="s">
        <v>755</v>
      </c>
      <c r="C302" s="246" t="s">
        <v>25</v>
      </c>
      <c r="D302" s="247">
        <v>1</v>
      </c>
      <c r="E302" s="248">
        <v>0</v>
      </c>
      <c r="F302" s="248">
        <f>D302*E302</f>
        <v>0</v>
      </c>
      <c r="G302" s="252" t="s">
        <v>572</v>
      </c>
      <c r="H302" s="253">
        <f>(F302/100)*G302</f>
        <v>0</v>
      </c>
      <c r="I302" s="254">
        <f>F302+H302</f>
        <v>0</v>
      </c>
      <c r="J302" s="254">
        <v>0</v>
      </c>
      <c r="K302" s="254">
        <v>0</v>
      </c>
    </row>
    <row r="303" spans="1:11" s="255" customFormat="1" ht="12.75">
      <c r="A303" s="308"/>
      <c r="B303" s="251"/>
      <c r="C303" s="246"/>
      <c r="D303" s="247"/>
      <c r="E303" s="248"/>
      <c r="F303" s="248"/>
      <c r="G303" s="252"/>
      <c r="H303" s="253"/>
      <c r="I303" s="254"/>
      <c r="J303" s="254"/>
      <c r="K303" s="254"/>
    </row>
    <row r="304" spans="1:11" s="255" customFormat="1" ht="12.75">
      <c r="A304" s="308"/>
      <c r="B304" s="251" t="s">
        <v>756</v>
      </c>
      <c r="C304" s="246" t="s">
        <v>25</v>
      </c>
      <c r="D304" s="247">
        <v>2</v>
      </c>
      <c r="E304" s="248">
        <v>0</v>
      </c>
      <c r="F304" s="248">
        <f>D304*E304</f>
        <v>0</v>
      </c>
      <c r="G304" s="252" t="s">
        <v>572</v>
      </c>
      <c r="H304" s="253">
        <f>(F304/100)*G304</f>
        <v>0</v>
      </c>
      <c r="I304" s="254">
        <f>F304+H304</f>
        <v>0</v>
      </c>
      <c r="J304" s="254">
        <v>0</v>
      </c>
      <c r="K304" s="254">
        <v>0</v>
      </c>
    </row>
    <row r="305" spans="1:11" s="255" customFormat="1" ht="12.75">
      <c r="A305" s="308"/>
      <c r="B305" s="251"/>
      <c r="C305" s="246"/>
      <c r="D305" s="247"/>
      <c r="E305" s="248"/>
      <c r="F305" s="248"/>
      <c r="G305" s="252"/>
      <c r="H305" s="253"/>
      <c r="I305" s="254"/>
      <c r="J305" s="254"/>
      <c r="K305" s="254"/>
    </row>
    <row r="306" spans="1:11" s="255" customFormat="1" ht="25.5">
      <c r="A306" s="308" t="s">
        <v>564</v>
      </c>
      <c r="B306" s="251" t="s">
        <v>757</v>
      </c>
      <c r="C306" s="246" t="s">
        <v>25</v>
      </c>
      <c r="D306" s="247">
        <v>1</v>
      </c>
      <c r="E306" s="248">
        <v>0</v>
      </c>
      <c r="F306" s="248">
        <f>D306*E306</f>
        <v>0</v>
      </c>
      <c r="G306" s="252" t="s">
        <v>572</v>
      </c>
      <c r="H306" s="253">
        <f>(F306/100)*G306</f>
        <v>0</v>
      </c>
      <c r="I306" s="254">
        <f>F306+H306</f>
        <v>0</v>
      </c>
      <c r="J306" s="254">
        <v>0</v>
      </c>
      <c r="K306" s="254">
        <v>0</v>
      </c>
    </row>
    <row r="307" spans="1:11" s="255" customFormat="1" ht="12.75">
      <c r="A307" s="308"/>
      <c r="B307" s="251"/>
      <c r="C307" s="246"/>
      <c r="D307" s="247"/>
      <c r="E307" s="248"/>
      <c r="F307" s="248"/>
      <c r="G307" s="252"/>
      <c r="H307" s="253"/>
      <c r="I307" s="254"/>
      <c r="J307" s="254"/>
      <c r="K307" s="254"/>
    </row>
    <row r="308" spans="1:11" s="255" customFormat="1" ht="12.75">
      <c r="A308" s="308" t="s">
        <v>565</v>
      </c>
      <c r="B308" s="251" t="s">
        <v>566</v>
      </c>
      <c r="C308" s="246" t="s">
        <v>25</v>
      </c>
      <c r="D308" s="247">
        <v>1</v>
      </c>
      <c r="E308" s="248">
        <v>0</v>
      </c>
      <c r="F308" s="248">
        <f>D308*E308</f>
        <v>0</v>
      </c>
      <c r="G308" s="252" t="s">
        <v>572</v>
      </c>
      <c r="H308" s="253">
        <f>(F308/100)*G308</f>
        <v>0</v>
      </c>
      <c r="I308" s="254">
        <f>F308+H308</f>
        <v>0</v>
      </c>
      <c r="J308" s="254">
        <v>0</v>
      </c>
      <c r="K308" s="254">
        <v>0</v>
      </c>
    </row>
    <row r="309" spans="1:11" s="255" customFormat="1" ht="12" customHeight="1">
      <c r="A309" s="308"/>
      <c r="B309" s="251"/>
      <c r="C309" s="246"/>
      <c r="D309" s="247"/>
      <c r="E309" s="248"/>
      <c r="F309" s="248"/>
      <c r="G309" s="252"/>
      <c r="H309" s="253"/>
      <c r="I309" s="254"/>
      <c r="J309" s="254"/>
      <c r="K309" s="254"/>
    </row>
    <row r="310" spans="1:11" s="255" customFormat="1" ht="12.75">
      <c r="A310" s="307"/>
      <c r="B310" s="251" t="s">
        <v>497</v>
      </c>
      <c r="C310" s="246"/>
      <c r="D310" s="247"/>
      <c r="E310" s="248"/>
      <c r="F310" s="242"/>
      <c r="G310" s="243"/>
      <c r="H310" s="243"/>
      <c r="I310" s="249"/>
      <c r="J310" s="249"/>
      <c r="K310" s="249"/>
    </row>
    <row r="311" spans="1:11" s="255" customFormat="1" ht="15.75">
      <c r="A311" s="309"/>
      <c r="B311" s="258" t="s">
        <v>567</v>
      </c>
      <c r="C311" s="259" t="s">
        <v>57</v>
      </c>
      <c r="D311" s="260">
        <v>1</v>
      </c>
      <c r="E311" s="261"/>
      <c r="F311" s="262">
        <f>SUM(F295:F310)</f>
        <v>0</v>
      </c>
      <c r="G311" s="263"/>
      <c r="H311" s="263">
        <f>SUM(H295:H310)</f>
        <v>0</v>
      </c>
      <c r="I311" s="264">
        <f>SUM(I294:I310)</f>
        <v>0</v>
      </c>
      <c r="J311" s="264">
        <f>SUM(J294:J310)</f>
        <v>0</v>
      </c>
      <c r="K311" s="264">
        <f>SUM(K294:K310)</f>
        <v>0</v>
      </c>
    </row>
    <row r="312" spans="1:11" s="255" customFormat="1" ht="12.75">
      <c r="A312" s="309"/>
      <c r="B312" s="251"/>
      <c r="C312" s="246"/>
      <c r="D312" s="247"/>
      <c r="E312" s="248"/>
      <c r="F312" s="242"/>
      <c r="G312" s="243"/>
      <c r="H312" s="243"/>
      <c r="I312" s="249"/>
      <c r="J312" s="249"/>
      <c r="K312" s="249"/>
    </row>
    <row r="313" spans="1:11" ht="31.5">
      <c r="A313" s="307"/>
      <c r="B313" s="245" t="s">
        <v>758</v>
      </c>
      <c r="C313" s="246"/>
      <c r="D313" s="247"/>
      <c r="E313" s="248"/>
      <c r="F313" s="242"/>
      <c r="G313" s="243"/>
      <c r="H313" s="243"/>
      <c r="I313" s="249"/>
      <c r="J313" s="249"/>
      <c r="K313" s="249"/>
    </row>
    <row r="314" spans="1:11" ht="12.75">
      <c r="A314" s="307"/>
      <c r="B314" s="250"/>
      <c r="C314" s="246"/>
      <c r="D314" s="247"/>
      <c r="E314" s="248"/>
      <c r="F314" s="242"/>
      <c r="G314" s="243"/>
      <c r="H314" s="243"/>
      <c r="I314" s="249"/>
      <c r="J314" s="249"/>
      <c r="K314" s="249"/>
    </row>
    <row r="315" spans="1:11" ht="12.75">
      <c r="A315" s="307"/>
      <c r="B315" s="256" t="s">
        <v>568</v>
      </c>
      <c r="C315" s="246"/>
      <c r="D315" s="247"/>
      <c r="E315" s="248"/>
      <c r="F315" s="242"/>
      <c r="G315" s="243"/>
      <c r="H315" s="243"/>
      <c r="I315" s="249"/>
      <c r="J315" s="249"/>
      <c r="K315" s="249"/>
    </row>
    <row r="316" spans="1:11" ht="12.75">
      <c r="A316" s="307"/>
      <c r="B316" s="250"/>
      <c r="C316" s="246"/>
      <c r="D316" s="247"/>
      <c r="E316" s="248"/>
      <c r="F316" s="242"/>
      <c r="G316" s="243"/>
      <c r="H316" s="243"/>
      <c r="I316" s="249"/>
      <c r="J316" s="249"/>
      <c r="K316" s="249"/>
    </row>
    <row r="317" spans="1:11" s="255" customFormat="1" ht="38.25">
      <c r="A317" s="309" t="s">
        <v>569</v>
      </c>
      <c r="B317" s="251" t="s">
        <v>759</v>
      </c>
      <c r="C317" s="246"/>
      <c r="D317" s="247"/>
      <c r="E317" s="248"/>
      <c r="F317" s="248"/>
      <c r="G317" s="252"/>
      <c r="H317" s="253"/>
      <c r="I317" s="254"/>
      <c r="J317" s="254"/>
      <c r="K317" s="254"/>
    </row>
    <row r="318" spans="1:11" s="255" customFormat="1" ht="12.75">
      <c r="A318" s="309"/>
      <c r="B318" s="251" t="s">
        <v>760</v>
      </c>
      <c r="C318" s="246" t="s">
        <v>25</v>
      </c>
      <c r="D318" s="247">
        <v>1</v>
      </c>
      <c r="E318" s="248">
        <v>0</v>
      </c>
      <c r="F318" s="248">
        <f>D318*E318</f>
        <v>0</v>
      </c>
      <c r="G318" s="252" t="s">
        <v>572</v>
      </c>
      <c r="H318" s="253">
        <f>(F318/100)*G318</f>
        <v>0</v>
      </c>
      <c r="I318" s="254">
        <f>F318+H318</f>
        <v>0</v>
      </c>
      <c r="J318" s="254">
        <v>0</v>
      </c>
      <c r="K318" s="254">
        <v>0</v>
      </c>
    </row>
    <row r="319" spans="1:11" s="255" customFormat="1" ht="12.75">
      <c r="A319" s="308"/>
      <c r="B319" s="251"/>
      <c r="C319" s="246"/>
      <c r="D319" s="247"/>
      <c r="E319" s="248"/>
      <c r="F319" s="248"/>
      <c r="G319" s="252"/>
      <c r="H319" s="253"/>
      <c r="I319" s="254"/>
      <c r="J319" s="254"/>
      <c r="K319" s="254"/>
    </row>
    <row r="320" spans="1:11" s="255" customFormat="1" ht="25.5">
      <c r="A320" s="308"/>
      <c r="B320" s="251" t="s">
        <v>761</v>
      </c>
      <c r="C320" s="246"/>
      <c r="D320" s="247"/>
      <c r="E320" s="248"/>
      <c r="F320" s="248"/>
      <c r="G320" s="252"/>
      <c r="H320" s="253"/>
      <c r="I320" s="254"/>
      <c r="J320" s="254"/>
      <c r="K320" s="254"/>
    </row>
    <row r="321" spans="1:11" s="255" customFormat="1" ht="12.75">
      <c r="A321" s="309"/>
      <c r="B321" s="251" t="s">
        <v>762</v>
      </c>
      <c r="C321" s="246" t="s">
        <v>25</v>
      </c>
      <c r="D321" s="247">
        <v>4</v>
      </c>
      <c r="E321" s="248">
        <v>0</v>
      </c>
      <c r="F321" s="248">
        <f>D321*E321</f>
        <v>0</v>
      </c>
      <c r="G321" s="252" t="s">
        <v>572</v>
      </c>
      <c r="H321" s="253">
        <f>(F321/100)*G321</f>
        <v>0</v>
      </c>
      <c r="I321" s="254">
        <f>F321+H321</f>
        <v>0</v>
      </c>
      <c r="J321" s="254">
        <v>0</v>
      </c>
      <c r="K321" s="254">
        <v>0</v>
      </c>
    </row>
    <row r="322" spans="1:11" s="255" customFormat="1" ht="12.75">
      <c r="A322" s="309"/>
      <c r="B322" s="251"/>
      <c r="C322" s="246"/>
      <c r="D322" s="247"/>
      <c r="E322" s="248"/>
      <c r="F322" s="248"/>
      <c r="G322" s="252"/>
      <c r="H322" s="253"/>
      <c r="I322" s="254"/>
      <c r="J322" s="254"/>
      <c r="K322" s="254"/>
    </row>
    <row r="323" spans="1:11" s="255" customFormat="1" ht="25.5">
      <c r="A323" s="308"/>
      <c r="B323" s="251" t="s">
        <v>763</v>
      </c>
      <c r="C323" s="246"/>
      <c r="D323" s="247"/>
      <c r="E323" s="248"/>
      <c r="F323" s="248"/>
      <c r="G323" s="252"/>
      <c r="H323" s="253"/>
      <c r="I323" s="254"/>
      <c r="J323" s="254"/>
      <c r="K323" s="254"/>
    </row>
    <row r="324" spans="1:11" s="255" customFormat="1" ht="12.75">
      <c r="A324" s="309"/>
      <c r="B324" s="251" t="s">
        <v>764</v>
      </c>
      <c r="C324" s="246" t="s">
        <v>25</v>
      </c>
      <c r="D324" s="247">
        <v>4</v>
      </c>
      <c r="E324" s="248">
        <v>0</v>
      </c>
      <c r="F324" s="248">
        <f>D324*E324</f>
        <v>0</v>
      </c>
      <c r="G324" s="252" t="s">
        <v>572</v>
      </c>
      <c r="H324" s="253">
        <f>(F324/100)*G324</f>
        <v>0</v>
      </c>
      <c r="I324" s="254">
        <f>F324+H324</f>
        <v>0</v>
      </c>
      <c r="J324" s="254">
        <v>0</v>
      </c>
      <c r="K324" s="254">
        <v>0</v>
      </c>
    </row>
    <row r="325" spans="1:11" s="255" customFormat="1" ht="12.75">
      <c r="A325" s="309"/>
      <c r="B325" s="251" t="s">
        <v>765</v>
      </c>
      <c r="C325" s="246" t="s">
        <v>25</v>
      </c>
      <c r="D325" s="247">
        <v>4</v>
      </c>
      <c r="E325" s="248">
        <v>0</v>
      </c>
      <c r="F325" s="248">
        <f>D325*E325</f>
        <v>0</v>
      </c>
      <c r="G325" s="252" t="s">
        <v>572</v>
      </c>
      <c r="H325" s="253">
        <f>(F325/100)*G325</f>
        <v>0</v>
      </c>
      <c r="I325" s="254">
        <f>F325+H325</f>
        <v>0</v>
      </c>
      <c r="J325" s="254">
        <v>0</v>
      </c>
      <c r="K325" s="254">
        <v>0</v>
      </c>
    </row>
    <row r="326" spans="1:11" s="255" customFormat="1" ht="12.75">
      <c r="A326" s="309"/>
      <c r="B326" s="251"/>
      <c r="C326" s="246"/>
      <c r="D326" s="247"/>
      <c r="E326" s="248"/>
      <c r="F326" s="248"/>
      <c r="G326" s="252"/>
      <c r="H326" s="253"/>
      <c r="I326" s="254"/>
      <c r="J326" s="254"/>
      <c r="K326" s="254"/>
    </row>
    <row r="327" spans="1:11" s="255" customFormat="1" ht="13.5" customHeight="1">
      <c r="A327" s="307"/>
      <c r="B327" s="256" t="s">
        <v>481</v>
      </c>
      <c r="C327" s="246"/>
      <c r="D327" s="247"/>
      <c r="E327" s="248"/>
      <c r="F327" s="242"/>
      <c r="G327" s="243"/>
      <c r="H327" s="243"/>
      <c r="I327" s="249"/>
      <c r="J327" s="249"/>
      <c r="K327" s="249"/>
    </row>
    <row r="328" spans="1:11" s="255" customFormat="1" ht="13.5" customHeight="1">
      <c r="A328" s="307"/>
      <c r="B328" s="256"/>
      <c r="C328" s="246"/>
      <c r="D328" s="247"/>
      <c r="E328" s="248"/>
      <c r="F328" s="242"/>
      <c r="G328" s="243"/>
      <c r="H328" s="243"/>
      <c r="I328" s="249"/>
      <c r="J328" s="249"/>
      <c r="K328" s="249"/>
    </row>
    <row r="329" spans="1:11" s="255" customFormat="1" ht="12.75">
      <c r="A329" s="308"/>
      <c r="B329" s="251" t="s">
        <v>766</v>
      </c>
      <c r="C329" s="246" t="s">
        <v>25</v>
      </c>
      <c r="D329" s="247">
        <v>7</v>
      </c>
      <c r="E329" s="248">
        <v>0</v>
      </c>
      <c r="F329" s="242">
        <f>D329*E329</f>
        <v>0</v>
      </c>
      <c r="G329" s="252" t="s">
        <v>572</v>
      </c>
      <c r="H329" s="253">
        <f>(F329/100)*G329</f>
        <v>0</v>
      </c>
      <c r="I329" s="254">
        <f>F329+H329</f>
        <v>0</v>
      </c>
      <c r="J329" s="254">
        <v>0</v>
      </c>
      <c r="K329" s="254">
        <v>0</v>
      </c>
    </row>
    <row r="330" spans="1:11" s="255" customFormat="1" ht="12.75">
      <c r="A330" s="308"/>
      <c r="B330" s="251"/>
      <c r="C330" s="246"/>
      <c r="D330" s="247"/>
      <c r="E330" s="248"/>
      <c r="F330" s="242"/>
      <c r="G330" s="252"/>
      <c r="H330" s="253"/>
      <c r="I330" s="254"/>
      <c r="J330" s="254"/>
      <c r="K330" s="254"/>
    </row>
    <row r="331" spans="1:11" s="255" customFormat="1" ht="13.5" customHeight="1">
      <c r="A331" s="307"/>
      <c r="B331" s="256" t="s">
        <v>767</v>
      </c>
      <c r="C331" s="246"/>
      <c r="D331" s="247"/>
      <c r="E331" s="248"/>
      <c r="F331" s="242"/>
      <c r="G331" s="243"/>
      <c r="H331" s="243"/>
      <c r="I331" s="249"/>
      <c r="J331" s="249"/>
      <c r="K331" s="249"/>
    </row>
    <row r="332" spans="1:11" s="255" customFormat="1" ht="13.5" customHeight="1">
      <c r="A332" s="307"/>
      <c r="B332" s="256"/>
      <c r="C332" s="246"/>
      <c r="D332" s="247"/>
      <c r="E332" s="248"/>
      <c r="F332" s="242"/>
      <c r="G332" s="243"/>
      <c r="H332" s="243"/>
      <c r="I332" s="249"/>
      <c r="J332" s="249"/>
      <c r="K332" s="249"/>
    </row>
    <row r="333" spans="1:11" s="255" customFormat="1" ht="12.75">
      <c r="A333" s="308"/>
      <c r="B333" s="251" t="s">
        <v>768</v>
      </c>
      <c r="C333" s="246" t="s">
        <v>25</v>
      </c>
      <c r="D333" s="247">
        <v>4</v>
      </c>
      <c r="E333" s="248">
        <v>0</v>
      </c>
      <c r="F333" s="242">
        <f>D333*E333</f>
        <v>0</v>
      </c>
      <c r="G333" s="252" t="s">
        <v>572</v>
      </c>
      <c r="H333" s="253">
        <f>(F333/100)*G333</f>
        <v>0</v>
      </c>
      <c r="I333" s="254">
        <f>F333+H333</f>
        <v>0</v>
      </c>
      <c r="J333" s="254">
        <v>0</v>
      </c>
      <c r="K333" s="254">
        <v>0</v>
      </c>
    </row>
    <row r="334" spans="1:11" s="255" customFormat="1" ht="12.75">
      <c r="A334" s="308"/>
      <c r="B334" s="251" t="s">
        <v>769</v>
      </c>
      <c r="C334" s="246" t="s">
        <v>25</v>
      </c>
      <c r="D334" s="247">
        <v>2</v>
      </c>
      <c r="E334" s="248">
        <v>0</v>
      </c>
      <c r="F334" s="242">
        <f>D334*E334</f>
        <v>0</v>
      </c>
      <c r="G334" s="252" t="s">
        <v>572</v>
      </c>
      <c r="H334" s="253">
        <f>(F334/100)*G334</f>
        <v>0</v>
      </c>
      <c r="I334" s="254">
        <f>F334+H334</f>
        <v>0</v>
      </c>
      <c r="J334" s="254">
        <v>0</v>
      </c>
      <c r="K334" s="254">
        <v>0</v>
      </c>
    </row>
    <row r="335" spans="1:11" s="255" customFormat="1" ht="13.5" customHeight="1">
      <c r="A335" s="307"/>
      <c r="B335" s="256"/>
      <c r="C335" s="246"/>
      <c r="D335" s="247"/>
      <c r="E335" s="248"/>
      <c r="F335" s="242"/>
      <c r="G335" s="243"/>
      <c r="H335" s="243"/>
      <c r="I335" s="249"/>
      <c r="J335" s="249"/>
      <c r="K335" s="249"/>
    </row>
    <row r="336" spans="1:11" s="255" customFormat="1" ht="12.75">
      <c r="A336" s="308"/>
      <c r="B336" s="251" t="s">
        <v>483</v>
      </c>
      <c r="C336" s="246" t="s">
        <v>182</v>
      </c>
      <c r="D336" s="247">
        <v>87</v>
      </c>
      <c r="E336" s="248">
        <v>0</v>
      </c>
      <c r="F336" s="248">
        <f>D336*E336</f>
        <v>0</v>
      </c>
      <c r="G336" s="252" t="s">
        <v>572</v>
      </c>
      <c r="H336" s="253">
        <f>(F336/100)*G336</f>
        <v>0</v>
      </c>
      <c r="I336" s="254">
        <f>F336+H336</f>
        <v>0</v>
      </c>
      <c r="J336" s="254">
        <v>0</v>
      </c>
      <c r="K336" s="254">
        <v>0</v>
      </c>
    </row>
    <row r="337" spans="1:11" s="255" customFormat="1" ht="12.75">
      <c r="A337" s="308"/>
      <c r="B337" s="251"/>
      <c r="C337" s="246"/>
      <c r="D337" s="247"/>
      <c r="E337" s="248"/>
      <c r="F337" s="248"/>
      <c r="G337" s="252"/>
      <c r="H337" s="253"/>
      <c r="I337" s="254"/>
      <c r="J337" s="254"/>
      <c r="K337" s="254"/>
    </row>
    <row r="338" spans="1:11" s="255" customFormat="1" ht="12.75">
      <c r="A338" s="308"/>
      <c r="B338" s="250" t="s">
        <v>570</v>
      </c>
      <c r="C338" s="246"/>
      <c r="D338" s="247"/>
      <c r="E338" s="248"/>
      <c r="F338" s="242"/>
      <c r="G338" s="252"/>
      <c r="H338" s="253"/>
      <c r="I338" s="254"/>
      <c r="J338" s="254"/>
      <c r="K338" s="254"/>
    </row>
    <row r="339" spans="1:11" ht="12.75">
      <c r="A339" s="307"/>
      <c r="B339" s="250"/>
      <c r="C339" s="246"/>
      <c r="D339" s="247"/>
      <c r="E339" s="248"/>
      <c r="F339" s="242"/>
      <c r="G339" s="243"/>
      <c r="H339" s="243"/>
      <c r="I339" s="249"/>
      <c r="J339" s="249"/>
      <c r="K339" s="249"/>
    </row>
    <row r="340" spans="1:11" s="255" customFormat="1" ht="25.5">
      <c r="A340" s="308"/>
      <c r="B340" s="265" t="s">
        <v>770</v>
      </c>
      <c r="C340" s="246" t="s">
        <v>57</v>
      </c>
      <c r="D340" s="247">
        <v>1</v>
      </c>
      <c r="E340" s="248">
        <v>0</v>
      </c>
      <c r="F340" s="242">
        <f>D340*E340</f>
        <v>0</v>
      </c>
      <c r="G340" s="252" t="s">
        <v>572</v>
      </c>
      <c r="H340" s="253">
        <f>(F340/100)*G340</f>
        <v>0</v>
      </c>
      <c r="I340" s="254">
        <f>F340+H340</f>
        <v>0</v>
      </c>
      <c r="J340" s="254">
        <v>0</v>
      </c>
      <c r="K340" s="254">
        <v>0</v>
      </c>
    </row>
    <row r="341" spans="1:11" s="255" customFormat="1" ht="12.75">
      <c r="A341" s="308"/>
      <c r="B341" s="265"/>
      <c r="C341" s="246"/>
      <c r="D341" s="247"/>
      <c r="E341" s="248"/>
      <c r="F341" s="242"/>
      <c r="G341" s="252"/>
      <c r="H341" s="253"/>
      <c r="I341" s="254"/>
      <c r="J341" s="254"/>
      <c r="K341" s="254"/>
    </row>
    <row r="342" spans="1:11" s="255" customFormat="1" ht="25.5">
      <c r="A342" s="308" t="s">
        <v>573</v>
      </c>
      <c r="B342" s="251" t="s">
        <v>574</v>
      </c>
      <c r="C342" s="246" t="s">
        <v>25</v>
      </c>
      <c r="D342" s="247">
        <v>1</v>
      </c>
      <c r="E342" s="248">
        <v>0</v>
      </c>
      <c r="F342" s="242">
        <f>D342*E342</f>
        <v>0</v>
      </c>
      <c r="G342" s="252" t="s">
        <v>572</v>
      </c>
      <c r="H342" s="253">
        <f>(F342/100)*G342</f>
        <v>0</v>
      </c>
      <c r="I342" s="254">
        <f>F342+H342</f>
        <v>0</v>
      </c>
      <c r="J342" s="254">
        <v>0</v>
      </c>
      <c r="K342" s="254">
        <v>0</v>
      </c>
    </row>
    <row r="343" spans="1:11" s="255" customFormat="1" ht="12.75">
      <c r="A343" s="308"/>
      <c r="B343" s="251"/>
      <c r="C343" s="246"/>
      <c r="D343" s="247"/>
      <c r="E343" s="248"/>
      <c r="F343" s="242"/>
      <c r="G343" s="252"/>
      <c r="H343" s="253"/>
      <c r="I343" s="254"/>
      <c r="J343" s="254"/>
      <c r="K343" s="254"/>
    </row>
    <row r="344" spans="1:11" ht="12.75">
      <c r="A344" s="307"/>
      <c r="B344" s="256" t="s">
        <v>568</v>
      </c>
      <c r="C344" s="246"/>
      <c r="D344" s="247"/>
      <c r="E344" s="248"/>
      <c r="F344" s="242"/>
      <c r="G344" s="243"/>
      <c r="H344" s="243"/>
      <c r="I344" s="249"/>
      <c r="J344" s="249"/>
      <c r="K344" s="249"/>
    </row>
    <row r="345" spans="1:11" ht="12.75">
      <c r="A345" s="307"/>
      <c r="B345" s="256"/>
      <c r="C345" s="246"/>
      <c r="D345" s="247"/>
      <c r="E345" s="248"/>
      <c r="F345" s="242"/>
      <c r="G345" s="243"/>
      <c r="H345" s="243"/>
      <c r="I345" s="249"/>
      <c r="J345" s="249"/>
      <c r="K345" s="249"/>
    </row>
    <row r="346" spans="1:11" s="255" customFormat="1" ht="38.25">
      <c r="A346" s="309" t="s">
        <v>575</v>
      </c>
      <c r="B346" s="251" t="s">
        <v>771</v>
      </c>
      <c r="C346" s="246"/>
      <c r="D346" s="247"/>
      <c r="E346" s="248"/>
      <c r="F346" s="248"/>
      <c r="G346" s="252"/>
      <c r="H346" s="253"/>
      <c r="I346" s="254"/>
      <c r="J346" s="254"/>
      <c r="K346" s="254"/>
    </row>
    <row r="347" spans="1:11" s="255" customFormat="1" ht="12.75">
      <c r="A347" s="309"/>
      <c r="B347" s="251" t="s">
        <v>772</v>
      </c>
      <c r="C347" s="246" t="s">
        <v>25</v>
      </c>
      <c r="D347" s="247">
        <v>1</v>
      </c>
      <c r="E347" s="248">
        <v>0</v>
      </c>
      <c r="F347" s="248">
        <f>D347*E347</f>
        <v>0</v>
      </c>
      <c r="G347" s="252" t="s">
        <v>572</v>
      </c>
      <c r="H347" s="253">
        <f>(F347/100)*G347</f>
        <v>0</v>
      </c>
      <c r="I347" s="254">
        <f>F347+H347</f>
        <v>0</v>
      </c>
      <c r="J347" s="254">
        <v>0</v>
      </c>
      <c r="K347" s="254">
        <v>0</v>
      </c>
    </row>
    <row r="348" spans="1:11" s="255" customFormat="1" ht="12.75">
      <c r="A348" s="308"/>
      <c r="B348" s="251"/>
      <c r="C348" s="246"/>
      <c r="D348" s="247"/>
      <c r="E348" s="248"/>
      <c r="F348" s="248"/>
      <c r="G348" s="252"/>
      <c r="H348" s="253"/>
      <c r="I348" s="254"/>
      <c r="J348" s="254"/>
      <c r="K348" s="254"/>
    </row>
    <row r="349" spans="1:11" s="255" customFormat="1" ht="25.5">
      <c r="A349" s="308"/>
      <c r="B349" s="251" t="s">
        <v>773</v>
      </c>
      <c r="C349" s="246"/>
      <c r="D349" s="247"/>
      <c r="E349" s="248"/>
      <c r="F349" s="248"/>
      <c r="G349" s="252"/>
      <c r="H349" s="253"/>
      <c r="I349" s="254"/>
      <c r="J349" s="254"/>
      <c r="K349" s="254"/>
    </row>
    <row r="350" spans="1:11" s="255" customFormat="1" ht="12.75">
      <c r="A350" s="309"/>
      <c r="B350" s="251" t="s">
        <v>576</v>
      </c>
      <c r="C350" s="246" t="s">
        <v>25</v>
      </c>
      <c r="D350" s="247">
        <v>2</v>
      </c>
      <c r="E350" s="248">
        <v>0</v>
      </c>
      <c r="F350" s="248">
        <f>D350*E350</f>
        <v>0</v>
      </c>
      <c r="G350" s="252" t="s">
        <v>572</v>
      </c>
      <c r="H350" s="253">
        <f>(F350/100)*G350</f>
        <v>0</v>
      </c>
      <c r="I350" s="254">
        <f>F350+H350</f>
        <v>0</v>
      </c>
      <c r="J350" s="254">
        <v>0</v>
      </c>
      <c r="K350" s="254">
        <v>0</v>
      </c>
    </row>
    <row r="351" spans="1:11" s="255" customFormat="1" ht="12.75">
      <c r="A351" s="309"/>
      <c r="B351" s="251"/>
      <c r="C351" s="246"/>
      <c r="D351" s="247"/>
      <c r="E351" s="248"/>
      <c r="F351" s="248"/>
      <c r="G351" s="252"/>
      <c r="H351" s="253"/>
      <c r="I351" s="254"/>
      <c r="J351" s="254"/>
      <c r="K351" s="254"/>
    </row>
    <row r="352" spans="1:11" s="255" customFormat="1" ht="25.5">
      <c r="A352" s="308"/>
      <c r="B352" s="251" t="s">
        <v>774</v>
      </c>
      <c r="C352" s="246"/>
      <c r="D352" s="247"/>
      <c r="E352" s="248"/>
      <c r="F352" s="248"/>
      <c r="G352" s="252"/>
      <c r="H352" s="253"/>
      <c r="I352" s="254"/>
      <c r="J352" s="254"/>
      <c r="K352" s="254"/>
    </row>
    <row r="353" spans="1:11" s="255" customFormat="1" ht="12.75">
      <c r="A353" s="309"/>
      <c r="B353" s="251" t="s">
        <v>775</v>
      </c>
      <c r="C353" s="246" t="s">
        <v>25</v>
      </c>
      <c r="D353" s="247">
        <v>3</v>
      </c>
      <c r="E353" s="248">
        <v>0</v>
      </c>
      <c r="F353" s="248">
        <f>D353*E353</f>
        <v>0</v>
      </c>
      <c r="G353" s="252" t="s">
        <v>572</v>
      </c>
      <c r="H353" s="253">
        <f>(F353/100)*G353</f>
        <v>0</v>
      </c>
      <c r="I353" s="254">
        <f>F353+H353</f>
        <v>0</v>
      </c>
      <c r="J353" s="254">
        <v>0</v>
      </c>
      <c r="K353" s="254">
        <v>0</v>
      </c>
    </row>
    <row r="354" spans="1:11" s="255" customFormat="1" ht="12.75">
      <c r="A354" s="309"/>
      <c r="B354" s="251" t="s">
        <v>765</v>
      </c>
      <c r="C354" s="246" t="s">
        <v>25</v>
      </c>
      <c r="D354" s="247">
        <v>3</v>
      </c>
      <c r="E354" s="248">
        <v>0</v>
      </c>
      <c r="F354" s="248">
        <f>D354*E354</f>
        <v>0</v>
      </c>
      <c r="G354" s="252" t="s">
        <v>572</v>
      </c>
      <c r="H354" s="253">
        <f>(F354/100)*G354</f>
        <v>0</v>
      </c>
      <c r="I354" s="254">
        <f>F354+H354</f>
        <v>0</v>
      </c>
      <c r="J354" s="254">
        <v>0</v>
      </c>
      <c r="K354" s="254">
        <v>0</v>
      </c>
    </row>
    <row r="355" spans="1:11" s="255" customFormat="1" ht="12.75">
      <c r="A355" s="309"/>
      <c r="B355" s="251"/>
      <c r="C355" s="246"/>
      <c r="D355" s="247"/>
      <c r="E355" s="248"/>
      <c r="F355" s="248"/>
      <c r="G355" s="252"/>
      <c r="H355" s="253"/>
      <c r="I355" s="254"/>
      <c r="J355" s="254"/>
      <c r="K355" s="254"/>
    </row>
    <row r="356" spans="1:11" s="255" customFormat="1" ht="13.5" customHeight="1">
      <c r="A356" s="307"/>
      <c r="B356" s="256" t="s">
        <v>481</v>
      </c>
      <c r="C356" s="246"/>
      <c r="D356" s="247"/>
      <c r="E356" s="248"/>
      <c r="F356" s="242"/>
      <c r="G356" s="243"/>
      <c r="H356" s="243"/>
      <c r="I356" s="249"/>
      <c r="J356" s="249"/>
      <c r="K356" s="249"/>
    </row>
    <row r="357" spans="1:11" s="255" customFormat="1" ht="13.5" customHeight="1">
      <c r="A357" s="307"/>
      <c r="B357" s="256"/>
      <c r="C357" s="246"/>
      <c r="D357" s="247"/>
      <c r="E357" s="248"/>
      <c r="F357" s="242"/>
      <c r="G357" s="243"/>
      <c r="H357" s="243"/>
      <c r="I357" s="249"/>
      <c r="J357" s="249"/>
      <c r="K357" s="249"/>
    </row>
    <row r="358" spans="1:11" s="255" customFormat="1" ht="12.75">
      <c r="A358" s="308"/>
      <c r="B358" s="251" t="s">
        <v>766</v>
      </c>
      <c r="C358" s="246" t="s">
        <v>25</v>
      </c>
      <c r="D358" s="247">
        <v>5</v>
      </c>
      <c r="E358" s="248">
        <v>0</v>
      </c>
      <c r="F358" s="242">
        <f>D358*E358</f>
        <v>0</v>
      </c>
      <c r="G358" s="252" t="s">
        <v>572</v>
      </c>
      <c r="H358" s="253">
        <f>(F358/100)*G358</f>
        <v>0</v>
      </c>
      <c r="I358" s="254">
        <f>F358+H358</f>
        <v>0</v>
      </c>
      <c r="J358" s="254">
        <v>0</v>
      </c>
      <c r="K358" s="254">
        <v>0</v>
      </c>
    </row>
    <row r="359" spans="1:11" s="255" customFormat="1" ht="12.75">
      <c r="A359" s="308"/>
      <c r="B359" s="251"/>
      <c r="C359" s="246"/>
      <c r="D359" s="247"/>
      <c r="E359" s="248"/>
      <c r="F359" s="242"/>
      <c r="G359" s="252"/>
      <c r="H359" s="253"/>
      <c r="I359" s="254"/>
      <c r="J359" s="254"/>
      <c r="K359" s="254"/>
    </row>
    <row r="360" spans="1:11" s="255" customFormat="1" ht="12.75">
      <c r="A360" s="308"/>
      <c r="B360" s="251" t="s">
        <v>776</v>
      </c>
      <c r="C360" s="246" t="s">
        <v>25</v>
      </c>
      <c r="D360" s="247">
        <v>1</v>
      </c>
      <c r="E360" s="248">
        <v>0</v>
      </c>
      <c r="F360" s="242">
        <f>D360*E360</f>
        <v>0</v>
      </c>
      <c r="G360" s="252" t="s">
        <v>572</v>
      </c>
      <c r="H360" s="253">
        <f>(F360/100)*G360</f>
        <v>0</v>
      </c>
      <c r="I360" s="254">
        <f>F360+H360</f>
        <v>0</v>
      </c>
      <c r="J360" s="254">
        <v>0</v>
      </c>
      <c r="K360" s="254">
        <v>0</v>
      </c>
    </row>
    <row r="361" spans="1:11" s="255" customFormat="1" ht="12.75">
      <c r="A361" s="308"/>
      <c r="B361" s="251" t="s">
        <v>777</v>
      </c>
      <c r="C361" s="246" t="s">
        <v>25</v>
      </c>
      <c r="D361" s="247">
        <v>1</v>
      </c>
      <c r="E361" s="248">
        <v>0</v>
      </c>
      <c r="F361" s="242">
        <f>D361*E361</f>
        <v>0</v>
      </c>
      <c r="G361" s="252" t="s">
        <v>572</v>
      </c>
      <c r="H361" s="253">
        <f>(F361/100)*G361</f>
        <v>0</v>
      </c>
      <c r="I361" s="254">
        <f>F361+H361</f>
        <v>0</v>
      </c>
      <c r="J361" s="254">
        <v>0</v>
      </c>
      <c r="K361" s="254">
        <v>0</v>
      </c>
    </row>
    <row r="362" spans="1:11" s="255" customFormat="1" ht="12.75">
      <c r="A362" s="308"/>
      <c r="B362" s="251" t="s">
        <v>778</v>
      </c>
      <c r="C362" s="246" t="s">
        <v>25</v>
      </c>
      <c r="D362" s="247">
        <v>1</v>
      </c>
      <c r="E362" s="248">
        <v>0</v>
      </c>
      <c r="F362" s="242">
        <f>D362*E362</f>
        <v>0</v>
      </c>
      <c r="G362" s="252" t="s">
        <v>572</v>
      </c>
      <c r="H362" s="253">
        <f>(F362/100)*G362</f>
        <v>0</v>
      </c>
      <c r="I362" s="254">
        <f>F362+H362</f>
        <v>0</v>
      </c>
      <c r="J362" s="254">
        <v>0</v>
      </c>
      <c r="K362" s="254">
        <v>0</v>
      </c>
    </row>
    <row r="363" spans="1:11" s="255" customFormat="1" ht="13.5" customHeight="1">
      <c r="A363" s="307"/>
      <c r="B363" s="256"/>
      <c r="C363" s="246"/>
      <c r="D363" s="247"/>
      <c r="E363" s="248"/>
      <c r="F363" s="242"/>
      <c r="G363" s="243"/>
      <c r="H363" s="243"/>
      <c r="I363" s="249"/>
      <c r="J363" s="249"/>
      <c r="K363" s="249"/>
    </row>
    <row r="364" spans="1:11" s="255" customFormat="1" ht="12.75">
      <c r="A364" s="308"/>
      <c r="B364" s="251" t="s">
        <v>483</v>
      </c>
      <c r="C364" s="246" t="s">
        <v>182</v>
      </c>
      <c r="D364" s="247">
        <v>95</v>
      </c>
      <c r="E364" s="248">
        <v>0</v>
      </c>
      <c r="F364" s="248">
        <f>D364*E364</f>
        <v>0</v>
      </c>
      <c r="G364" s="252" t="s">
        <v>572</v>
      </c>
      <c r="H364" s="253">
        <f>(F364/100)*G364</f>
        <v>0</v>
      </c>
      <c r="I364" s="254">
        <f>F364+H364</f>
        <v>0</v>
      </c>
      <c r="J364" s="254">
        <v>0</v>
      </c>
      <c r="K364" s="254">
        <v>0</v>
      </c>
    </row>
    <row r="365" spans="1:11" s="255" customFormat="1" ht="12.75">
      <c r="A365" s="308"/>
      <c r="B365" s="251"/>
      <c r="C365" s="246"/>
      <c r="D365" s="247"/>
      <c r="E365" s="248"/>
      <c r="F365" s="248"/>
      <c r="G365" s="252"/>
      <c r="H365" s="253"/>
      <c r="I365" s="254"/>
      <c r="J365" s="254"/>
      <c r="K365" s="254"/>
    </row>
    <row r="366" spans="1:11" s="255" customFormat="1" ht="12.75">
      <c r="A366" s="308"/>
      <c r="B366" s="250" t="s">
        <v>570</v>
      </c>
      <c r="C366" s="246"/>
      <c r="D366" s="247"/>
      <c r="E366" s="248"/>
      <c r="F366" s="242"/>
      <c r="G366" s="252"/>
      <c r="H366" s="253"/>
      <c r="I366" s="254"/>
      <c r="J366" s="254"/>
      <c r="K366" s="254"/>
    </row>
    <row r="367" spans="1:11" ht="12.75">
      <c r="A367" s="307"/>
      <c r="B367" s="250"/>
      <c r="C367" s="246"/>
      <c r="D367" s="247"/>
      <c r="E367" s="248"/>
      <c r="F367" s="242"/>
      <c r="G367" s="243"/>
      <c r="H367" s="243"/>
      <c r="I367" s="249"/>
      <c r="J367" s="249"/>
      <c r="K367" s="249"/>
    </row>
    <row r="368" spans="1:11" s="255" customFormat="1" ht="25.5">
      <c r="A368" s="308"/>
      <c r="B368" s="265" t="s">
        <v>770</v>
      </c>
      <c r="C368" s="246" t="s">
        <v>57</v>
      </c>
      <c r="D368" s="247">
        <v>1</v>
      </c>
      <c r="E368" s="248">
        <v>0</v>
      </c>
      <c r="F368" s="242">
        <f>D368*E368</f>
        <v>0</v>
      </c>
      <c r="G368" s="252" t="s">
        <v>572</v>
      </c>
      <c r="H368" s="253">
        <f>(F368/100)*G368</f>
        <v>0</v>
      </c>
      <c r="I368" s="254">
        <f>F368+H368</f>
        <v>0</v>
      </c>
      <c r="J368" s="254">
        <v>0</v>
      </c>
      <c r="K368" s="254">
        <v>0</v>
      </c>
    </row>
    <row r="369" spans="1:11" ht="12.75">
      <c r="A369" s="307"/>
      <c r="B369" s="250"/>
      <c r="C369" s="246"/>
      <c r="D369" s="247"/>
      <c r="E369" s="248"/>
      <c r="F369" s="242"/>
      <c r="G369" s="243"/>
      <c r="H369" s="243"/>
      <c r="I369" s="249"/>
      <c r="J369" s="249"/>
      <c r="K369" s="249"/>
    </row>
    <row r="370" spans="1:11" s="255" customFormat="1" ht="25.5">
      <c r="A370" s="308" t="s">
        <v>577</v>
      </c>
      <c r="B370" s="251" t="s">
        <v>578</v>
      </c>
      <c r="C370" s="246" t="s">
        <v>25</v>
      </c>
      <c r="D370" s="247">
        <v>1</v>
      </c>
      <c r="E370" s="248">
        <v>0</v>
      </c>
      <c r="F370" s="242">
        <f>D370*E370</f>
        <v>0</v>
      </c>
      <c r="G370" s="252" t="s">
        <v>572</v>
      </c>
      <c r="H370" s="253">
        <f>(F370/100)*G370</f>
        <v>0</v>
      </c>
      <c r="I370" s="254">
        <f>F370+H370</f>
        <v>0</v>
      </c>
      <c r="J370" s="254">
        <v>0</v>
      </c>
      <c r="K370" s="254">
        <v>0</v>
      </c>
    </row>
    <row r="371" spans="1:11" s="255" customFormat="1" ht="12.75">
      <c r="A371" s="308"/>
      <c r="B371" s="251"/>
      <c r="C371" s="246"/>
      <c r="D371" s="247"/>
      <c r="E371" s="248"/>
      <c r="F371" s="248"/>
      <c r="G371" s="252"/>
      <c r="H371" s="253"/>
      <c r="I371" s="254"/>
      <c r="J371" s="254"/>
      <c r="K371" s="254"/>
    </row>
    <row r="372" spans="1:11" s="255" customFormat="1" ht="12.75">
      <c r="A372" s="308"/>
      <c r="B372" s="251"/>
      <c r="C372" s="246"/>
      <c r="D372" s="247"/>
      <c r="E372" s="248"/>
      <c r="F372" s="242"/>
      <c r="G372" s="252"/>
      <c r="H372" s="253"/>
      <c r="I372" s="254"/>
      <c r="J372" s="254"/>
      <c r="K372" s="254"/>
    </row>
    <row r="373" spans="1:11" s="255" customFormat="1" ht="25.5">
      <c r="A373" s="309"/>
      <c r="B373" s="251" t="s">
        <v>579</v>
      </c>
      <c r="C373" s="246" t="s">
        <v>55</v>
      </c>
      <c r="D373" s="247">
        <v>65</v>
      </c>
      <c r="E373" s="248">
        <v>0</v>
      </c>
      <c r="F373" s="242"/>
      <c r="G373" s="252"/>
      <c r="H373" s="253">
        <f>D373*E373</f>
        <v>0</v>
      </c>
      <c r="I373" s="254">
        <f>F373+H373</f>
        <v>0</v>
      </c>
      <c r="J373" s="254">
        <v>0</v>
      </c>
      <c r="K373" s="254">
        <v>0</v>
      </c>
    </row>
    <row r="374" spans="1:11" s="255" customFormat="1" ht="12.75">
      <c r="A374" s="309"/>
      <c r="B374" s="251"/>
      <c r="C374" s="246"/>
      <c r="D374" s="247"/>
      <c r="E374" s="248"/>
      <c r="F374" s="242"/>
      <c r="G374" s="243"/>
      <c r="H374" s="243"/>
      <c r="I374" s="249"/>
      <c r="J374" s="249"/>
      <c r="K374" s="249"/>
    </row>
    <row r="375" spans="1:11" s="255" customFormat="1" ht="12.75">
      <c r="A375" s="309"/>
      <c r="B375" s="251" t="s">
        <v>496</v>
      </c>
      <c r="C375" s="246" t="s">
        <v>55</v>
      </c>
      <c r="D375" s="247">
        <v>15</v>
      </c>
      <c r="E375" s="248">
        <v>0</v>
      </c>
      <c r="F375" s="257"/>
      <c r="G375" s="252"/>
      <c r="H375" s="253">
        <f>D375*E375</f>
        <v>0</v>
      </c>
      <c r="I375" s="254">
        <f>F375+H375</f>
        <v>0</v>
      </c>
      <c r="J375" s="254">
        <v>0</v>
      </c>
      <c r="K375" s="254">
        <v>0</v>
      </c>
    </row>
    <row r="376" spans="1:11" s="255" customFormat="1" ht="12.75">
      <c r="A376" s="307"/>
      <c r="B376" s="251" t="s">
        <v>497</v>
      </c>
      <c r="C376" s="246"/>
      <c r="D376" s="247"/>
      <c r="E376" s="248"/>
      <c r="F376" s="242"/>
      <c r="G376" s="243"/>
      <c r="H376" s="243"/>
      <c r="I376" s="249"/>
      <c r="J376" s="249"/>
      <c r="K376" s="249"/>
    </row>
    <row r="377" spans="1:11" s="255" customFormat="1" ht="15.75">
      <c r="A377" s="309"/>
      <c r="B377" s="258" t="s">
        <v>580</v>
      </c>
      <c r="C377" s="259" t="s">
        <v>57</v>
      </c>
      <c r="D377" s="260">
        <v>1</v>
      </c>
      <c r="E377" s="261"/>
      <c r="F377" s="262">
        <f>SUM(F316:F376)</f>
        <v>0</v>
      </c>
      <c r="G377" s="263"/>
      <c r="H377" s="263">
        <f>SUM(H316:H376)</f>
        <v>0</v>
      </c>
      <c r="I377" s="264">
        <f>SUM(I313:I376)</f>
        <v>0</v>
      </c>
      <c r="J377" s="264">
        <f>SUM(J313:J376)</f>
        <v>0</v>
      </c>
      <c r="K377" s="264">
        <f>SUM(K313:K376)</f>
        <v>0</v>
      </c>
    </row>
    <row r="378" spans="1:11" s="255" customFormat="1" ht="12.75">
      <c r="A378" s="309"/>
      <c r="B378" s="251"/>
      <c r="C378" s="246"/>
      <c r="D378" s="247"/>
      <c r="E378" s="248"/>
      <c r="F378" s="242"/>
      <c r="G378" s="243"/>
      <c r="H378" s="243"/>
      <c r="I378" s="249"/>
      <c r="J378" s="249"/>
      <c r="K378" s="249"/>
    </row>
    <row r="379" spans="1:11" ht="47.25">
      <c r="A379" s="307"/>
      <c r="B379" s="245" t="s">
        <v>779</v>
      </c>
      <c r="C379" s="246"/>
      <c r="D379" s="247"/>
      <c r="E379" s="248"/>
      <c r="F379" s="242"/>
      <c r="G379" s="243"/>
      <c r="H379" s="243"/>
      <c r="I379" s="249"/>
      <c r="J379" s="249"/>
      <c r="K379" s="249"/>
    </row>
    <row r="380" spans="1:11" ht="12.75">
      <c r="A380" s="307"/>
      <c r="B380" s="250"/>
      <c r="C380" s="246"/>
      <c r="D380" s="247"/>
      <c r="E380" s="248"/>
      <c r="F380" s="242"/>
      <c r="G380" s="243"/>
      <c r="H380" s="243"/>
      <c r="I380" s="249"/>
      <c r="J380" s="249"/>
      <c r="K380" s="249"/>
    </row>
    <row r="381" spans="1:11" ht="12.75">
      <c r="A381" s="307"/>
      <c r="B381" s="256" t="s">
        <v>780</v>
      </c>
      <c r="C381" s="246"/>
      <c r="D381" s="247"/>
      <c r="E381" s="248"/>
      <c r="F381" s="242"/>
      <c r="G381" s="243"/>
      <c r="H381" s="243"/>
      <c r="I381" s="249"/>
      <c r="J381" s="249"/>
      <c r="K381" s="249"/>
    </row>
    <row r="382" spans="1:11" ht="12.75">
      <c r="A382" s="307"/>
      <c r="B382" s="250"/>
      <c r="C382" s="246"/>
      <c r="D382" s="247"/>
      <c r="E382" s="248"/>
      <c r="F382" s="242"/>
      <c r="G382" s="243"/>
      <c r="H382" s="243"/>
      <c r="I382" s="249"/>
      <c r="J382" s="249"/>
      <c r="K382" s="249"/>
    </row>
    <row r="383" spans="1:11" s="255" customFormat="1" ht="76.5">
      <c r="A383" s="308" t="s">
        <v>781</v>
      </c>
      <c r="B383" s="251" t="s">
        <v>782</v>
      </c>
      <c r="C383" s="246" t="s">
        <v>25</v>
      </c>
      <c r="D383" s="247">
        <v>1</v>
      </c>
      <c r="E383" s="248">
        <v>0</v>
      </c>
      <c r="F383" s="248">
        <f>D383*E383</f>
        <v>0</v>
      </c>
      <c r="G383" s="252" t="s">
        <v>572</v>
      </c>
      <c r="H383" s="253">
        <f>(F383/100)*G383</f>
        <v>0</v>
      </c>
      <c r="I383" s="254">
        <f>F383+H383</f>
        <v>0</v>
      </c>
      <c r="J383" s="254">
        <v>0</v>
      </c>
      <c r="K383" s="254">
        <v>0</v>
      </c>
    </row>
    <row r="384" spans="1:11" s="255" customFormat="1" ht="12.75">
      <c r="A384" s="308"/>
      <c r="B384" s="251"/>
      <c r="C384" s="246"/>
      <c r="D384" s="247"/>
      <c r="E384" s="248"/>
      <c r="F384" s="248"/>
      <c r="G384" s="252"/>
      <c r="H384" s="253"/>
      <c r="I384" s="254"/>
      <c r="J384" s="254"/>
      <c r="K384" s="254"/>
    </row>
    <row r="385" spans="1:11" s="255" customFormat="1" ht="13.5" customHeight="1">
      <c r="A385" s="307"/>
      <c r="B385" s="256" t="s">
        <v>481</v>
      </c>
      <c r="C385" s="246"/>
      <c r="D385" s="247"/>
      <c r="E385" s="248"/>
      <c r="F385" s="242"/>
      <c r="G385" s="243"/>
      <c r="H385" s="243"/>
      <c r="I385" s="249"/>
      <c r="J385" s="249"/>
      <c r="K385" s="249"/>
    </row>
    <row r="386" spans="1:11" s="255" customFormat="1" ht="12.75">
      <c r="A386" s="308"/>
      <c r="B386" s="251"/>
      <c r="C386" s="246"/>
      <c r="D386" s="247"/>
      <c r="E386" s="248"/>
      <c r="F386" s="248"/>
      <c r="G386" s="252"/>
      <c r="H386" s="253"/>
      <c r="I386" s="254"/>
      <c r="J386" s="254"/>
      <c r="K386" s="254"/>
    </row>
    <row r="387" spans="1:11" s="255" customFormat="1" ht="12.75">
      <c r="A387" s="308"/>
      <c r="B387" s="251" t="s">
        <v>783</v>
      </c>
      <c r="C387" s="246" t="s">
        <v>25</v>
      </c>
      <c r="D387" s="247">
        <v>1</v>
      </c>
      <c r="E387" s="248">
        <v>0</v>
      </c>
      <c r="F387" s="242">
        <f>D387*E387</f>
        <v>0</v>
      </c>
      <c r="G387" s="252" t="s">
        <v>572</v>
      </c>
      <c r="H387" s="253">
        <f>(F387/100)*G387</f>
        <v>0</v>
      </c>
      <c r="I387" s="254">
        <f>F387+H387</f>
        <v>0</v>
      </c>
      <c r="J387" s="254">
        <v>0</v>
      </c>
      <c r="K387" s="254">
        <v>0</v>
      </c>
    </row>
    <row r="388" spans="1:11" s="255" customFormat="1" ht="12.75">
      <c r="A388" s="308"/>
      <c r="B388" s="251" t="s">
        <v>784</v>
      </c>
      <c r="C388" s="246" t="s">
        <v>25</v>
      </c>
      <c r="D388" s="247">
        <v>1</v>
      </c>
      <c r="E388" s="248">
        <v>0</v>
      </c>
      <c r="F388" s="242">
        <f>D388*E388</f>
        <v>0</v>
      </c>
      <c r="G388" s="252" t="s">
        <v>572</v>
      </c>
      <c r="H388" s="253">
        <f>(F388/100)*G388</f>
        <v>0</v>
      </c>
      <c r="I388" s="254">
        <f>F388+H388</f>
        <v>0</v>
      </c>
      <c r="J388" s="254">
        <v>0</v>
      </c>
      <c r="K388" s="254">
        <v>0</v>
      </c>
    </row>
    <row r="389" spans="1:11" s="255" customFormat="1" ht="12.75">
      <c r="A389" s="308"/>
      <c r="B389" s="251" t="s">
        <v>785</v>
      </c>
      <c r="C389" s="246" t="s">
        <v>25</v>
      </c>
      <c r="D389" s="247">
        <v>1</v>
      </c>
      <c r="E389" s="248">
        <v>0</v>
      </c>
      <c r="F389" s="242">
        <f>D389*E389</f>
        <v>0</v>
      </c>
      <c r="G389" s="252" t="s">
        <v>572</v>
      </c>
      <c r="H389" s="253">
        <f>(F389/100)*G389</f>
        <v>0</v>
      </c>
      <c r="I389" s="254">
        <f>F389+H389</f>
        <v>0</v>
      </c>
      <c r="J389" s="254">
        <v>0</v>
      </c>
      <c r="K389" s="254">
        <v>0</v>
      </c>
    </row>
    <row r="390" spans="1:11" s="255" customFormat="1" ht="12.75">
      <c r="A390" s="308"/>
      <c r="B390" s="251"/>
      <c r="C390" s="246"/>
      <c r="D390" s="247"/>
      <c r="E390" s="248"/>
      <c r="F390" s="242"/>
      <c r="G390" s="252"/>
      <c r="H390" s="253"/>
      <c r="I390" s="254"/>
      <c r="J390" s="254"/>
      <c r="K390" s="254"/>
    </row>
    <row r="391" spans="1:11" s="255" customFormat="1" ht="12.75">
      <c r="A391" s="308" t="s">
        <v>786</v>
      </c>
      <c r="B391" s="251" t="s">
        <v>787</v>
      </c>
      <c r="C391" s="246" t="s">
        <v>25</v>
      </c>
      <c r="D391" s="247">
        <v>4</v>
      </c>
      <c r="E391" s="248">
        <v>0</v>
      </c>
      <c r="F391" s="248">
        <f>D391*E391</f>
        <v>0</v>
      </c>
      <c r="G391" s="252" t="s">
        <v>572</v>
      </c>
      <c r="H391" s="253">
        <f>(F391/100)*G391</f>
        <v>0</v>
      </c>
      <c r="I391" s="254">
        <f>F391+H391</f>
        <v>0</v>
      </c>
      <c r="J391" s="254">
        <v>0</v>
      </c>
      <c r="K391" s="254">
        <v>0</v>
      </c>
    </row>
    <row r="392" spans="1:11" s="255" customFormat="1" ht="12.75">
      <c r="A392" s="308"/>
      <c r="B392" s="251"/>
      <c r="C392" s="246"/>
      <c r="D392" s="247"/>
      <c r="E392" s="248"/>
      <c r="F392" s="242"/>
      <c r="G392" s="252"/>
      <c r="H392" s="253"/>
      <c r="I392" s="254"/>
      <c r="J392" s="254"/>
      <c r="K392" s="254"/>
    </row>
    <row r="393" spans="1:11" s="255" customFormat="1" ht="12.75">
      <c r="A393" s="308" t="s">
        <v>788</v>
      </c>
      <c r="B393" s="251" t="s">
        <v>789</v>
      </c>
      <c r="C393" s="246" t="s">
        <v>25</v>
      </c>
      <c r="D393" s="247">
        <v>2</v>
      </c>
      <c r="E393" s="248">
        <v>0</v>
      </c>
      <c r="F393" s="242">
        <f>D393*E393</f>
        <v>0</v>
      </c>
      <c r="G393" s="252" t="s">
        <v>572</v>
      </c>
      <c r="H393" s="253">
        <f>(F393/100)*G393</f>
        <v>0</v>
      </c>
      <c r="I393" s="254">
        <f>F393+H393</f>
        <v>0</v>
      </c>
      <c r="J393" s="254">
        <v>0</v>
      </c>
      <c r="K393" s="254">
        <v>0</v>
      </c>
    </row>
    <row r="394" spans="1:11" s="255" customFormat="1" ht="12.75">
      <c r="A394" s="308"/>
      <c r="B394" s="251"/>
      <c r="C394" s="246"/>
      <c r="D394" s="247"/>
      <c r="E394" s="248"/>
      <c r="F394" s="242"/>
      <c r="G394" s="252"/>
      <c r="H394" s="253"/>
      <c r="I394" s="254"/>
      <c r="J394" s="254"/>
      <c r="K394" s="254"/>
    </row>
    <row r="395" spans="1:11" s="255" customFormat="1" ht="12.75">
      <c r="A395" s="308" t="s">
        <v>790</v>
      </c>
      <c r="B395" s="251" t="s">
        <v>710</v>
      </c>
      <c r="C395" s="246" t="s">
        <v>25</v>
      </c>
      <c r="D395" s="247">
        <v>3</v>
      </c>
      <c r="E395" s="248">
        <v>0</v>
      </c>
      <c r="F395" s="242">
        <f>D395*E395</f>
        <v>0</v>
      </c>
      <c r="G395" s="252" t="s">
        <v>572</v>
      </c>
      <c r="H395" s="253">
        <f>(F395/100)*G395</f>
        <v>0</v>
      </c>
      <c r="I395" s="254">
        <f>F395+H395</f>
        <v>0</v>
      </c>
      <c r="J395" s="254">
        <v>0</v>
      </c>
      <c r="K395" s="254">
        <v>0</v>
      </c>
    </row>
    <row r="396" spans="1:11" s="255" customFormat="1" ht="12.75">
      <c r="A396" s="308"/>
      <c r="B396" s="251"/>
      <c r="C396" s="246"/>
      <c r="D396" s="247"/>
      <c r="E396" s="248"/>
      <c r="F396" s="242"/>
      <c r="G396" s="252"/>
      <c r="H396" s="253"/>
      <c r="I396" s="254"/>
      <c r="J396" s="254"/>
      <c r="K396" s="254"/>
    </row>
    <row r="397" spans="1:11" s="255" customFormat="1" ht="12.75">
      <c r="A397" s="308" t="s">
        <v>791</v>
      </c>
      <c r="B397" t="s">
        <v>792</v>
      </c>
      <c r="C397" s="246" t="s">
        <v>25</v>
      </c>
      <c r="D397" s="247">
        <v>1</v>
      </c>
      <c r="E397" s="248">
        <v>0</v>
      </c>
      <c r="F397" s="242">
        <f>D397*E397</f>
        <v>0</v>
      </c>
      <c r="G397" s="252" t="s">
        <v>572</v>
      </c>
      <c r="H397" s="253">
        <f>(F397/100)*G397</f>
        <v>0</v>
      </c>
      <c r="I397" s="254">
        <f>F397+H397</f>
        <v>0</v>
      </c>
      <c r="J397" s="254">
        <v>0</v>
      </c>
      <c r="K397" s="254">
        <v>0</v>
      </c>
    </row>
    <row r="398" spans="1:11" s="255" customFormat="1" ht="12.75">
      <c r="A398" s="308"/>
      <c r="B398" s="251"/>
      <c r="C398" s="246"/>
      <c r="D398" s="247"/>
      <c r="E398" s="248"/>
      <c r="F398" s="242"/>
      <c r="G398" s="252"/>
      <c r="H398" s="253"/>
      <c r="I398" s="254"/>
      <c r="J398" s="254"/>
      <c r="K398" s="254"/>
    </row>
    <row r="399" spans="1:11" s="255" customFormat="1" ht="12.75">
      <c r="A399" s="308" t="s">
        <v>793</v>
      </c>
      <c r="B399" t="s">
        <v>794</v>
      </c>
      <c r="C399" s="246" t="s">
        <v>25</v>
      </c>
      <c r="D399" s="247">
        <v>2</v>
      </c>
      <c r="E399" s="248">
        <v>0</v>
      </c>
      <c r="F399" s="242">
        <f>D399*E399</f>
        <v>0</v>
      </c>
      <c r="G399" s="252" t="s">
        <v>572</v>
      </c>
      <c r="H399" s="253">
        <f>(F399/100)*G399</f>
        <v>0</v>
      </c>
      <c r="I399" s="254">
        <f>F399+H399</f>
        <v>0</v>
      </c>
      <c r="J399" s="254">
        <v>0</v>
      </c>
      <c r="K399" s="254">
        <v>0</v>
      </c>
    </row>
    <row r="400" spans="1:11" s="255" customFormat="1" ht="12.75">
      <c r="A400" s="308"/>
      <c r="B400" s="251"/>
      <c r="C400" s="246"/>
      <c r="D400" s="247"/>
      <c r="E400" s="248"/>
      <c r="F400" s="242"/>
      <c r="G400" s="252"/>
      <c r="H400" s="253"/>
      <c r="I400" s="254"/>
      <c r="J400" s="254"/>
      <c r="K400" s="254"/>
    </row>
    <row r="401" spans="1:11" s="255" customFormat="1" ht="12.75">
      <c r="A401" s="308" t="s">
        <v>795</v>
      </c>
      <c r="B401" s="251" t="s">
        <v>744</v>
      </c>
      <c r="C401" s="246" t="s">
        <v>25</v>
      </c>
      <c r="D401" s="247">
        <v>2</v>
      </c>
      <c r="E401" s="248">
        <v>0</v>
      </c>
      <c r="F401" s="248">
        <f>D401*E401</f>
        <v>0</v>
      </c>
      <c r="G401" s="252" t="s">
        <v>572</v>
      </c>
      <c r="H401" s="253">
        <f>(F401/100)*G401</f>
        <v>0</v>
      </c>
      <c r="I401" s="254">
        <f>F401+H401</f>
        <v>0</v>
      </c>
      <c r="J401" s="254">
        <v>0</v>
      </c>
      <c r="K401" s="254">
        <v>0</v>
      </c>
    </row>
    <row r="402" spans="1:11" s="255" customFormat="1" ht="12.75">
      <c r="A402" s="308"/>
      <c r="B402" s="251"/>
      <c r="C402" s="246"/>
      <c r="D402" s="247"/>
      <c r="E402" s="248"/>
      <c r="F402" s="242"/>
      <c r="G402" s="252"/>
      <c r="H402" s="253"/>
      <c r="I402" s="254"/>
      <c r="J402" s="254"/>
      <c r="K402" s="254"/>
    </row>
    <row r="403" spans="1:11" s="255" customFormat="1" ht="12.75">
      <c r="A403" s="307"/>
      <c r="B403" s="251" t="s">
        <v>497</v>
      </c>
      <c r="C403" s="246"/>
      <c r="D403" s="247"/>
      <c r="E403" s="248"/>
      <c r="F403" s="242"/>
      <c r="G403" s="243"/>
      <c r="H403" s="243"/>
      <c r="I403" s="249"/>
      <c r="J403" s="249"/>
      <c r="K403" s="249"/>
    </row>
    <row r="404" spans="1:11" s="255" customFormat="1" ht="15.75">
      <c r="A404" s="309"/>
      <c r="B404" s="258" t="s">
        <v>796</v>
      </c>
      <c r="C404" s="259" t="s">
        <v>57</v>
      </c>
      <c r="D404" s="260">
        <v>1</v>
      </c>
      <c r="E404" s="261"/>
      <c r="F404" s="262">
        <f>SUM(F379:F403)</f>
        <v>0</v>
      </c>
      <c r="G404" s="263"/>
      <c r="H404" s="263">
        <f>SUM(H379:H403)</f>
        <v>0</v>
      </c>
      <c r="I404" s="264">
        <f>SUM(I379:I403)</f>
        <v>0</v>
      </c>
      <c r="J404" s="264">
        <f>SUM(J379:J403)</f>
        <v>0</v>
      </c>
      <c r="K404" s="264">
        <f>SUM(K379:K403)</f>
        <v>0</v>
      </c>
    </row>
    <row r="405" spans="1:11" s="255" customFormat="1" ht="12.75">
      <c r="A405" s="309"/>
      <c r="B405" s="251"/>
      <c r="C405" s="246"/>
      <c r="D405" s="247"/>
      <c r="E405" s="248"/>
      <c r="F405" s="242"/>
      <c r="G405" s="243"/>
      <c r="H405" s="243"/>
      <c r="I405" s="249"/>
      <c r="J405" s="249"/>
      <c r="K405" s="249"/>
    </row>
    <row r="406" spans="1:11" s="255" customFormat="1" ht="18" customHeight="1">
      <c r="A406" s="307"/>
      <c r="B406" s="245" t="s">
        <v>581</v>
      </c>
      <c r="C406" s="246"/>
      <c r="D406" s="247"/>
      <c r="E406" s="248"/>
      <c r="F406" s="242"/>
      <c r="G406" s="242"/>
      <c r="H406" s="242"/>
      <c r="I406" s="249"/>
      <c r="J406" s="249"/>
      <c r="K406" s="249"/>
    </row>
    <row r="407" spans="1:11" s="255" customFormat="1" ht="13.5" customHeight="1">
      <c r="A407" s="309"/>
      <c r="B407" s="251"/>
      <c r="C407" s="246"/>
      <c r="D407" s="247"/>
      <c r="E407" s="248"/>
      <c r="F407" s="242"/>
      <c r="G407" s="242"/>
      <c r="H407" s="242"/>
      <c r="I407" s="249"/>
      <c r="J407" s="249"/>
      <c r="K407" s="249"/>
    </row>
    <row r="408" spans="1:11" s="255" customFormat="1" ht="25.5">
      <c r="A408" s="309"/>
      <c r="B408" s="251" t="s">
        <v>582</v>
      </c>
      <c r="C408" s="246" t="s">
        <v>26</v>
      </c>
      <c r="D408" s="247">
        <v>625</v>
      </c>
      <c r="E408" s="248">
        <v>0</v>
      </c>
      <c r="F408" s="242"/>
      <c r="G408" s="243"/>
      <c r="H408" s="243">
        <f>D408*E408</f>
        <v>0</v>
      </c>
      <c r="I408" s="249">
        <f>G408+H408</f>
        <v>0</v>
      </c>
      <c r="J408" s="254">
        <v>0</v>
      </c>
      <c r="K408" s="254">
        <v>0</v>
      </c>
    </row>
    <row r="409" spans="1:11" s="255" customFormat="1" ht="12.75">
      <c r="A409" s="309"/>
      <c r="B409" s="251"/>
      <c r="C409" s="246"/>
      <c r="D409" s="247"/>
      <c r="E409" s="248"/>
      <c r="F409" s="242"/>
      <c r="G409" s="243"/>
      <c r="H409" s="243"/>
      <c r="I409" s="249"/>
      <c r="J409" s="249"/>
      <c r="K409" s="249"/>
    </row>
    <row r="410" spans="1:11" s="255" customFormat="1" ht="15.75">
      <c r="A410" s="309"/>
      <c r="B410" s="266" t="s">
        <v>583</v>
      </c>
      <c r="C410" s="259" t="s">
        <v>57</v>
      </c>
      <c r="D410" s="260">
        <v>1</v>
      </c>
      <c r="E410" s="261"/>
      <c r="F410" s="262"/>
      <c r="G410" s="263"/>
      <c r="H410" s="263">
        <f>SUM(H406:H409)</f>
        <v>0</v>
      </c>
      <c r="I410" s="267">
        <f>SUM(I408:I409)</f>
        <v>0</v>
      </c>
      <c r="J410" s="267">
        <f>SUM(J408:J409)</f>
        <v>0</v>
      </c>
      <c r="K410" s="267">
        <f>SUM(K408:K409)</f>
        <v>0</v>
      </c>
    </row>
    <row r="411" spans="1:11" s="255" customFormat="1" ht="13.5" customHeight="1">
      <c r="A411" s="309"/>
      <c r="B411" s="251"/>
      <c r="C411" s="246"/>
      <c r="D411" s="247"/>
      <c r="E411" s="248"/>
      <c r="F411" s="242"/>
      <c r="G411" s="242"/>
      <c r="H411" s="242"/>
      <c r="I411" s="249"/>
      <c r="J411" s="249"/>
      <c r="K411" s="249"/>
    </row>
    <row r="412" spans="1:11" s="255" customFormat="1" ht="18" customHeight="1">
      <c r="A412" s="307"/>
      <c r="B412" s="245" t="s">
        <v>584</v>
      </c>
      <c r="C412" s="246"/>
      <c r="D412" s="247"/>
      <c r="E412" s="248"/>
      <c r="F412" s="242"/>
      <c r="G412" s="242"/>
      <c r="H412" s="242"/>
      <c r="I412" s="249"/>
      <c r="J412" s="249"/>
      <c r="K412" s="249"/>
    </row>
    <row r="413" spans="1:11" s="255" customFormat="1" ht="13.5" customHeight="1">
      <c r="A413" s="309"/>
      <c r="B413" s="251"/>
      <c r="C413" s="246"/>
      <c r="D413" s="247"/>
      <c r="E413" s="248"/>
      <c r="F413" s="242"/>
      <c r="G413" s="242"/>
      <c r="H413" s="242"/>
      <c r="I413" s="249"/>
      <c r="J413" s="249"/>
      <c r="K413" s="249"/>
    </row>
    <row r="414" spans="1:11" s="255" customFormat="1" ht="25.5">
      <c r="A414" s="309"/>
      <c r="B414" s="251" t="s">
        <v>585</v>
      </c>
      <c r="C414" s="246" t="s">
        <v>26</v>
      </c>
      <c r="D414" s="247">
        <v>20</v>
      </c>
      <c r="E414" s="248">
        <v>0</v>
      </c>
      <c r="F414" s="242"/>
      <c r="G414" s="243"/>
      <c r="H414" s="243">
        <f>D414*E414</f>
        <v>0</v>
      </c>
      <c r="I414" s="249">
        <f>G414+H414</f>
        <v>0</v>
      </c>
      <c r="J414" s="254">
        <v>0</v>
      </c>
      <c r="K414" s="254">
        <v>0</v>
      </c>
    </row>
    <row r="415" spans="1:11" s="255" customFormat="1" ht="12.75">
      <c r="A415" s="309"/>
      <c r="B415" s="251"/>
      <c r="C415" s="246"/>
      <c r="D415" s="247"/>
      <c r="E415" s="248"/>
      <c r="F415" s="242"/>
      <c r="G415" s="243"/>
      <c r="H415" s="243"/>
      <c r="I415" s="249"/>
      <c r="J415" s="249"/>
      <c r="K415" s="249"/>
    </row>
    <row r="416" spans="1:11" s="255" customFormat="1" ht="15.75">
      <c r="A416" s="309"/>
      <c r="B416" s="266" t="s">
        <v>586</v>
      </c>
      <c r="C416" s="259" t="s">
        <v>57</v>
      </c>
      <c r="D416" s="260">
        <v>1</v>
      </c>
      <c r="E416" s="261"/>
      <c r="F416" s="262"/>
      <c r="G416" s="263"/>
      <c r="H416" s="263">
        <f>SUM(H412:H415)</f>
        <v>0</v>
      </c>
      <c r="I416" s="267">
        <f>SUM(I414:I415)</f>
        <v>0</v>
      </c>
      <c r="J416" s="267">
        <f>SUM(J414:J415)</f>
        <v>0</v>
      </c>
      <c r="K416" s="267">
        <f>SUM(K414:K415)</f>
        <v>0</v>
      </c>
    </row>
    <row r="417" spans="1:11" s="255" customFormat="1" ht="13.5" customHeight="1">
      <c r="A417" s="309"/>
      <c r="B417" s="251"/>
      <c r="C417" s="246"/>
      <c r="D417" s="247"/>
      <c r="E417" s="248"/>
      <c r="F417" s="242"/>
      <c r="G417" s="242"/>
      <c r="H417" s="242"/>
      <c r="I417" s="249"/>
      <c r="J417" s="249"/>
      <c r="K417" s="249"/>
    </row>
    <row r="418" spans="1:11" s="255" customFormat="1" ht="18" customHeight="1">
      <c r="A418" s="307"/>
      <c r="B418" s="268" t="s">
        <v>587</v>
      </c>
      <c r="C418" s="246"/>
      <c r="D418" s="247"/>
      <c r="E418" s="248"/>
      <c r="F418" s="242"/>
      <c r="G418" s="242"/>
      <c r="H418" s="242"/>
      <c r="I418" s="249"/>
      <c r="J418" s="249"/>
      <c r="K418" s="249"/>
    </row>
    <row r="419" spans="1:11" s="255" customFormat="1" ht="13.5" customHeight="1">
      <c r="A419" s="307"/>
      <c r="B419" s="250"/>
      <c r="C419" s="246"/>
      <c r="D419" s="247"/>
      <c r="E419" s="248"/>
      <c r="F419" s="242"/>
      <c r="G419" s="242"/>
      <c r="H419" s="242"/>
      <c r="I419" s="249"/>
      <c r="J419" s="249"/>
      <c r="K419" s="249"/>
    </row>
    <row r="420" spans="1:11" s="255" customFormat="1" ht="12.75">
      <c r="A420" s="309"/>
      <c r="B420" s="251" t="s">
        <v>588</v>
      </c>
      <c r="C420" s="246" t="s">
        <v>26</v>
      </c>
      <c r="D420" s="247">
        <v>80</v>
      </c>
      <c r="E420" s="248">
        <v>0</v>
      </c>
      <c r="F420" s="242"/>
      <c r="G420" s="243"/>
      <c r="H420" s="243">
        <f>D420*E420</f>
        <v>0</v>
      </c>
      <c r="I420" s="249">
        <f>G420+H420</f>
        <v>0</v>
      </c>
      <c r="J420" s="254">
        <v>0</v>
      </c>
      <c r="K420" s="254">
        <v>0</v>
      </c>
    </row>
    <row r="421" spans="1:11" s="255" customFormat="1" ht="13.5" customHeight="1">
      <c r="A421" s="309"/>
      <c r="B421" s="251"/>
      <c r="C421" s="246"/>
      <c r="D421" s="247"/>
      <c r="E421" s="248"/>
      <c r="F421" s="242"/>
      <c r="G421" s="253"/>
      <c r="H421" s="253"/>
      <c r="I421" s="249"/>
      <c r="J421" s="249"/>
      <c r="K421" s="249"/>
    </row>
    <row r="422" spans="1:11" s="255" customFormat="1" ht="12.75">
      <c r="A422" s="309"/>
      <c r="B422" s="251" t="s">
        <v>589</v>
      </c>
      <c r="C422" s="246" t="s">
        <v>26</v>
      </c>
      <c r="D422" s="247">
        <v>80</v>
      </c>
      <c r="E422" s="248">
        <v>0</v>
      </c>
      <c r="F422" s="242"/>
      <c r="G422" s="243"/>
      <c r="H422" s="243">
        <f>D422*E422</f>
        <v>0</v>
      </c>
      <c r="I422" s="249">
        <f>G422+H422</f>
        <v>0</v>
      </c>
      <c r="J422" s="254">
        <v>0</v>
      </c>
      <c r="K422" s="254">
        <v>0</v>
      </c>
    </row>
    <row r="423" spans="1:11" s="255" customFormat="1" ht="12.75">
      <c r="A423" s="309"/>
      <c r="B423" s="251"/>
      <c r="C423" s="246"/>
      <c r="D423" s="247"/>
      <c r="E423" s="248"/>
      <c r="F423" s="242"/>
      <c r="G423" s="242"/>
      <c r="H423" s="242"/>
      <c r="I423" s="249"/>
      <c r="J423" s="249"/>
      <c r="K423" s="249"/>
    </row>
    <row r="424" spans="1:11" s="255" customFormat="1" ht="12.75">
      <c r="A424" s="309"/>
      <c r="B424" s="251" t="s">
        <v>590</v>
      </c>
      <c r="C424" s="246" t="s">
        <v>26</v>
      </c>
      <c r="D424" s="247">
        <v>80</v>
      </c>
      <c r="E424" s="248">
        <v>0</v>
      </c>
      <c r="F424" s="242"/>
      <c r="G424" s="243"/>
      <c r="H424" s="243">
        <f>D424*E424</f>
        <v>0</v>
      </c>
      <c r="I424" s="249">
        <f>G424+H424</f>
        <v>0</v>
      </c>
      <c r="J424" s="254">
        <v>0</v>
      </c>
      <c r="K424" s="254">
        <v>0</v>
      </c>
    </row>
    <row r="425" spans="1:11" s="255" customFormat="1" ht="12.75">
      <c r="A425" s="309"/>
      <c r="B425" s="251"/>
      <c r="C425" s="246"/>
      <c r="D425" s="247"/>
      <c r="E425" s="248"/>
      <c r="F425" s="242"/>
      <c r="G425" s="243"/>
      <c r="H425" s="243"/>
      <c r="I425" s="249"/>
      <c r="J425" s="249"/>
      <c r="K425" s="249"/>
    </row>
    <row r="426" spans="1:11" s="255" customFormat="1" ht="15.75">
      <c r="A426" s="309"/>
      <c r="B426" s="266" t="s">
        <v>591</v>
      </c>
      <c r="C426" s="259" t="s">
        <v>57</v>
      </c>
      <c r="D426" s="260">
        <v>1</v>
      </c>
      <c r="E426" s="261"/>
      <c r="F426" s="262"/>
      <c r="G426" s="263"/>
      <c r="H426" s="263">
        <f>SUM(H419:H425)</f>
        <v>0</v>
      </c>
      <c r="I426" s="267">
        <f>SUM(I419:I425)</f>
        <v>0</v>
      </c>
      <c r="J426" s="267">
        <f>SUM(J419:J425)</f>
        <v>0</v>
      </c>
      <c r="K426" s="267">
        <f>SUM(K419:K425)</f>
        <v>0</v>
      </c>
    </row>
    <row r="427" spans="1:11" s="255" customFormat="1" ht="15.75">
      <c r="A427" s="309"/>
      <c r="B427" s="268"/>
      <c r="C427" s="269"/>
      <c r="D427" s="270"/>
      <c r="E427" s="271"/>
      <c r="F427" s="272"/>
      <c r="G427" s="273"/>
      <c r="H427" s="273"/>
      <c r="I427" s="274"/>
      <c r="J427" s="274"/>
      <c r="K427" s="274"/>
    </row>
    <row r="428" spans="1:11" s="255" customFormat="1" ht="15.75">
      <c r="A428" s="309"/>
      <c r="B428" s="268" t="s">
        <v>592</v>
      </c>
      <c r="C428" s="246"/>
      <c r="D428" s="247"/>
      <c r="E428" s="248"/>
      <c r="F428" s="242"/>
      <c r="G428" s="242"/>
      <c r="H428" s="242"/>
      <c r="I428" s="249"/>
      <c r="J428" s="249"/>
      <c r="K428" s="249"/>
    </row>
    <row r="429" spans="1:11" s="255" customFormat="1" ht="15.75">
      <c r="A429" s="309"/>
      <c r="B429" s="268"/>
      <c r="C429" s="246"/>
      <c r="D429" s="247"/>
      <c r="E429" s="248"/>
      <c r="F429" s="242"/>
      <c r="G429" s="243"/>
      <c r="H429" s="243"/>
      <c r="I429" s="249"/>
      <c r="J429" s="249"/>
      <c r="K429" s="249"/>
    </row>
    <row r="430" spans="1:11" s="255" customFormat="1" ht="12.75">
      <c r="A430" s="309"/>
      <c r="B430" s="275" t="s">
        <v>593</v>
      </c>
      <c r="C430" s="246" t="s">
        <v>26</v>
      </c>
      <c r="D430" s="247">
        <v>0</v>
      </c>
      <c r="E430" s="248">
        <v>0</v>
      </c>
      <c r="F430" s="242"/>
      <c r="G430" s="243"/>
      <c r="H430" s="243">
        <v>0</v>
      </c>
      <c r="I430" s="249">
        <f>G430+H430</f>
        <v>0</v>
      </c>
      <c r="J430" s="254">
        <v>0</v>
      </c>
      <c r="K430" s="254">
        <v>0</v>
      </c>
    </row>
    <row r="431" spans="1:11" s="255" customFormat="1" ht="15.75">
      <c r="A431" s="309"/>
      <c r="B431" s="268"/>
      <c r="C431" s="246"/>
      <c r="D431" s="247"/>
      <c r="E431" s="248"/>
      <c r="F431" s="242"/>
      <c r="G431" s="243"/>
      <c r="H431" s="243"/>
      <c r="I431" s="249"/>
      <c r="J431" s="249"/>
      <c r="K431" s="249"/>
    </row>
    <row r="432" spans="1:11" s="255" customFormat="1" ht="15.75">
      <c r="A432" s="309"/>
      <c r="B432" s="266" t="s">
        <v>594</v>
      </c>
      <c r="C432" s="259" t="s">
        <v>57</v>
      </c>
      <c r="D432" s="260">
        <v>1</v>
      </c>
      <c r="E432" s="261"/>
      <c r="F432" s="262"/>
      <c r="G432" s="263"/>
      <c r="H432" s="267">
        <f>SUM(H430:H431)</f>
        <v>0</v>
      </c>
      <c r="I432" s="267">
        <f>SUM(I430:I431)</f>
        <v>0</v>
      </c>
      <c r="J432" s="267">
        <f>SUM(J430:J431)</f>
        <v>0</v>
      </c>
      <c r="K432" s="267">
        <f>SUM(K430:K431)</f>
        <v>0</v>
      </c>
    </row>
    <row r="433" spans="1:11" s="255" customFormat="1" ht="12.75">
      <c r="A433" s="309"/>
      <c r="B433" s="251"/>
      <c r="C433" s="246"/>
      <c r="D433" s="247"/>
      <c r="E433" s="248"/>
      <c r="F433" s="242"/>
      <c r="G433" s="242"/>
      <c r="H433" s="242"/>
      <c r="I433" s="249"/>
      <c r="J433" s="249"/>
      <c r="K433" s="249"/>
    </row>
    <row r="434" spans="1:11" ht="15.75">
      <c r="A434" s="310"/>
      <c r="B434" s="276" t="s">
        <v>595</v>
      </c>
      <c r="C434" s="277"/>
      <c r="D434" s="277"/>
      <c r="E434" s="278"/>
      <c r="F434" s="278">
        <f>F61+F108+F161+F202+F231+F286+F311+F377+F404+F410+F416+F426+F432</f>
        <v>0</v>
      </c>
      <c r="G434" s="278"/>
      <c r="H434" s="278">
        <f>H61+H108+H161+H202+H231+H286+H311+H377+H404+H410+H416+H426+H432</f>
        <v>0</v>
      </c>
      <c r="I434" s="279">
        <f>F434+H434</f>
        <v>0</v>
      </c>
      <c r="J434" s="279">
        <v>0</v>
      </c>
      <c r="K434" s="279">
        <v>0</v>
      </c>
    </row>
    <row r="435" spans="1:11" ht="12.75">
      <c r="A435" s="310"/>
      <c r="B435" s="311"/>
      <c r="C435" s="312"/>
      <c r="D435" s="312"/>
      <c r="E435" s="313"/>
      <c r="F435" s="313"/>
      <c r="G435" s="313"/>
      <c r="H435" s="313"/>
      <c r="I435" s="314"/>
      <c r="J435" s="314"/>
      <c r="K435" s="314"/>
    </row>
    <row r="436" spans="1:11" ht="12.75">
      <c r="A436" s="310"/>
      <c r="B436" s="311"/>
      <c r="C436" s="312"/>
      <c r="D436" s="312"/>
      <c r="E436" s="313"/>
      <c r="F436" s="313"/>
      <c r="G436" s="313"/>
      <c r="H436" s="313"/>
      <c r="I436" s="314"/>
      <c r="J436" s="314"/>
      <c r="K436" s="314"/>
    </row>
    <row r="438" ht="12.75">
      <c r="B438" s="280" t="s">
        <v>497</v>
      </c>
    </row>
    <row r="439" ht="12.75">
      <c r="J439" s="507"/>
    </row>
  </sheetData>
  <sheetProtection/>
  <mergeCells count="2">
    <mergeCell ref="F4:F5"/>
    <mergeCell ref="H4:H5"/>
  </mergeCells>
  <printOptions/>
  <pageMargins left="0.7874015748031497" right="0.7874015748031497" top="0.7874015748031497" bottom="0.984251968503937" header="0.5118110236220472" footer="0.5118110236220472"/>
  <pageSetup horizontalDpi="600" verticalDpi="600" orientation="landscape" paperSize="9" scale="64" r:id="rId1"/>
  <rowBreaks count="2" manualBreakCount="2">
    <brk id="155" max="10" man="1"/>
    <brk id="242" max="10" man="1"/>
  </rowBreaks>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showGridLines="0" showZeros="0" view="pageBreakPreview" zoomScale="115" zoomScaleNormal="115" zoomScaleSheetLayoutView="115" workbookViewId="0" topLeftCell="A1">
      <selection activeCell="A1" sqref="A1"/>
    </sheetView>
  </sheetViews>
  <sheetFormatPr defaultColWidth="9.00390625" defaultRowHeight="12.75"/>
  <cols>
    <col min="1" max="1" width="3.875" style="12" customWidth="1"/>
    <col min="2" max="2" width="16.00390625" style="44" customWidth="1"/>
    <col min="3" max="3" width="64.00390625" style="12" customWidth="1"/>
    <col min="4" max="4" width="6.625" style="12" customWidth="1"/>
    <col min="5" max="5" width="8.625" style="20" customWidth="1"/>
    <col min="6" max="6" width="16.00390625" style="12" customWidth="1"/>
    <col min="7" max="9" width="14.75390625" style="12" customWidth="1"/>
    <col min="10" max="16384" width="9.125" style="12" customWidth="1"/>
  </cols>
  <sheetData>
    <row r="1" spans="1:9" ht="22.5" customHeight="1">
      <c r="A1" s="114" t="s">
        <v>28</v>
      </c>
      <c r="B1" s="115"/>
      <c r="C1" s="116"/>
      <c r="D1" s="117"/>
      <c r="E1" s="118"/>
      <c r="F1" s="118"/>
      <c r="G1" s="119"/>
      <c r="H1" s="119"/>
      <c r="I1" s="119"/>
    </row>
    <row r="2" spans="1:9" ht="16.5">
      <c r="A2" s="551" t="s">
        <v>220</v>
      </c>
      <c r="B2" s="551"/>
      <c r="C2" s="120" t="s">
        <v>400</v>
      </c>
      <c r="D2" s="121"/>
      <c r="E2" s="121"/>
      <c r="F2" s="121"/>
      <c r="G2" s="119"/>
      <c r="H2" s="119"/>
      <c r="I2" s="119"/>
    </row>
    <row r="3" spans="1:9" ht="12.75">
      <c r="A3" s="14"/>
      <c r="B3" s="43"/>
      <c r="C3" s="15"/>
      <c r="D3" s="13"/>
      <c r="E3" s="16"/>
      <c r="F3" s="13"/>
      <c r="G3" s="17"/>
      <c r="H3" s="17"/>
      <c r="I3" s="17"/>
    </row>
    <row r="4" spans="1:9" ht="12.75">
      <c r="A4" s="123" t="s">
        <v>29</v>
      </c>
      <c r="B4" s="123" t="s">
        <v>173</v>
      </c>
      <c r="C4" s="124" t="s">
        <v>174</v>
      </c>
      <c r="D4" s="123" t="s">
        <v>175</v>
      </c>
      <c r="E4" s="123" t="s">
        <v>176</v>
      </c>
      <c r="F4" s="123" t="s">
        <v>177</v>
      </c>
      <c r="G4" s="123" t="s">
        <v>1737</v>
      </c>
      <c r="H4" s="123" t="s">
        <v>1738</v>
      </c>
      <c r="I4" s="123" t="s">
        <v>1739</v>
      </c>
    </row>
    <row r="5" spans="1:9" ht="20.25" customHeight="1">
      <c r="A5" s="122"/>
      <c r="B5" s="166"/>
      <c r="C5" s="156" t="s">
        <v>56</v>
      </c>
      <c r="D5" s="160"/>
      <c r="E5" s="161"/>
      <c r="F5" s="159"/>
      <c r="G5" s="159">
        <v>0</v>
      </c>
      <c r="H5" s="159">
        <v>0</v>
      </c>
      <c r="I5" s="159">
        <v>0</v>
      </c>
    </row>
    <row r="6" spans="1:9" ht="12.75">
      <c r="A6" s="125">
        <v>1</v>
      </c>
      <c r="B6" s="165">
        <v>33002000</v>
      </c>
      <c r="C6" s="157" t="s">
        <v>391</v>
      </c>
      <c r="D6" s="160" t="s">
        <v>25</v>
      </c>
      <c r="E6" s="161">
        <v>1</v>
      </c>
      <c r="F6" s="404">
        <v>0</v>
      </c>
      <c r="G6" s="159">
        <f>SUM(E6*F6)</f>
        <v>0</v>
      </c>
      <c r="H6" s="159">
        <v>0</v>
      </c>
      <c r="I6" s="159">
        <v>0</v>
      </c>
    </row>
    <row r="7" spans="1:9" ht="25.5">
      <c r="A7" s="125">
        <v>2</v>
      </c>
      <c r="B7" s="165">
        <v>39002000</v>
      </c>
      <c r="C7" s="157" t="s">
        <v>392</v>
      </c>
      <c r="D7" s="160" t="s">
        <v>25</v>
      </c>
      <c r="E7" s="161">
        <v>1</v>
      </c>
      <c r="F7" s="404">
        <v>0</v>
      </c>
      <c r="G7" s="159">
        <f aca="true" t="shared" si="0" ref="G7:G25">SUM(E7*F7)</f>
        <v>0</v>
      </c>
      <c r="H7" s="159">
        <v>0</v>
      </c>
      <c r="I7" s="159">
        <v>0</v>
      </c>
    </row>
    <row r="8" spans="1:9" ht="12.75">
      <c r="A8" s="125">
        <v>3</v>
      </c>
      <c r="B8" s="165">
        <v>5121026</v>
      </c>
      <c r="C8" s="157" t="s">
        <v>393</v>
      </c>
      <c r="D8" s="160" t="s">
        <v>25</v>
      </c>
      <c r="E8" s="161">
        <v>1</v>
      </c>
      <c r="F8" s="404">
        <v>0</v>
      </c>
      <c r="G8" s="159">
        <f t="shared" si="0"/>
        <v>0</v>
      </c>
      <c r="H8" s="159">
        <v>0</v>
      </c>
      <c r="I8" s="159">
        <v>0</v>
      </c>
    </row>
    <row r="9" spans="1:9" ht="12.75">
      <c r="A9" s="125">
        <v>4</v>
      </c>
      <c r="B9" s="165">
        <v>5211080</v>
      </c>
      <c r="C9" s="157" t="s">
        <v>394</v>
      </c>
      <c r="D9" s="160" t="s">
        <v>25</v>
      </c>
      <c r="E9" s="161">
        <v>1</v>
      </c>
      <c r="F9" s="404">
        <v>0</v>
      </c>
      <c r="G9" s="159">
        <f t="shared" si="0"/>
        <v>0</v>
      </c>
      <c r="H9" s="159">
        <v>0</v>
      </c>
      <c r="I9" s="159">
        <v>0</v>
      </c>
    </row>
    <row r="10" spans="1:9" ht="12.75">
      <c r="A10" s="125">
        <v>5</v>
      </c>
      <c r="B10" s="165">
        <v>30001000</v>
      </c>
      <c r="C10" s="157" t="s">
        <v>395</v>
      </c>
      <c r="D10" s="160" t="s">
        <v>25</v>
      </c>
      <c r="E10" s="161">
        <v>1</v>
      </c>
      <c r="F10" s="404">
        <v>0</v>
      </c>
      <c r="G10" s="159">
        <f t="shared" si="0"/>
        <v>0</v>
      </c>
      <c r="H10" s="159">
        <v>0</v>
      </c>
      <c r="I10" s="159">
        <v>0</v>
      </c>
    </row>
    <row r="11" spans="1:9" ht="12.75">
      <c r="A11" s="125"/>
      <c r="B11" s="165"/>
      <c r="C11" s="157"/>
      <c r="D11" s="160"/>
      <c r="E11" s="161"/>
      <c r="F11" s="404"/>
      <c r="G11" s="404"/>
      <c r="H11" s="404"/>
      <c r="I11" s="404"/>
    </row>
    <row r="12" spans="1:9" ht="12.75">
      <c r="A12" s="125"/>
      <c r="B12" s="165"/>
      <c r="C12" s="156" t="s">
        <v>313</v>
      </c>
      <c r="D12" s="160"/>
      <c r="E12" s="161"/>
      <c r="F12" s="404"/>
      <c r="G12" s="404"/>
      <c r="H12" s="404"/>
      <c r="I12" s="404"/>
    </row>
    <row r="13" spans="1:9" ht="12.75">
      <c r="A13" s="125"/>
      <c r="B13" s="165"/>
      <c r="C13" s="156" t="s">
        <v>396</v>
      </c>
      <c r="D13" s="160"/>
      <c r="E13" s="161"/>
      <c r="F13" s="404"/>
      <c r="G13" s="404"/>
      <c r="H13" s="404"/>
      <c r="I13" s="404"/>
    </row>
    <row r="14" spans="1:9" ht="12.75">
      <c r="A14" s="125">
        <v>6</v>
      </c>
      <c r="B14" s="165" t="s">
        <v>402</v>
      </c>
      <c r="C14" s="157" t="s">
        <v>396</v>
      </c>
      <c r="D14" s="160" t="s">
        <v>25</v>
      </c>
      <c r="E14" s="161">
        <v>1</v>
      </c>
      <c r="F14" s="404">
        <v>0</v>
      </c>
      <c r="G14" s="159">
        <f t="shared" si="0"/>
        <v>0</v>
      </c>
      <c r="H14" s="159">
        <v>0</v>
      </c>
      <c r="I14" s="159">
        <v>0</v>
      </c>
    </row>
    <row r="15" spans="1:9" ht="12.75">
      <c r="A15" s="125">
        <v>7</v>
      </c>
      <c r="B15" s="165" t="s">
        <v>401</v>
      </c>
      <c r="C15" s="157" t="s">
        <v>397</v>
      </c>
      <c r="D15" s="160" t="s">
        <v>25</v>
      </c>
      <c r="E15" s="161">
        <v>1</v>
      </c>
      <c r="F15" s="404">
        <v>0</v>
      </c>
      <c r="G15" s="159">
        <f t="shared" si="0"/>
        <v>0</v>
      </c>
      <c r="H15" s="159">
        <v>0</v>
      </c>
      <c r="I15" s="159">
        <v>0</v>
      </c>
    </row>
    <row r="16" spans="1:9" ht="12.75">
      <c r="A16" s="125"/>
      <c r="B16" s="165"/>
      <c r="C16" s="157"/>
      <c r="D16" s="160"/>
      <c r="E16" s="161"/>
      <c r="F16" s="404"/>
      <c r="G16" s="404"/>
      <c r="H16" s="404"/>
      <c r="I16" s="404"/>
    </row>
    <row r="17" spans="1:9" ht="12.75">
      <c r="A17" s="125"/>
      <c r="B17" s="165"/>
      <c r="C17" s="156" t="s">
        <v>398</v>
      </c>
      <c r="D17" s="160"/>
      <c r="E17" s="161"/>
      <c r="F17" s="404"/>
      <c r="G17" s="404"/>
      <c r="H17" s="404"/>
      <c r="I17" s="404"/>
    </row>
    <row r="18" spans="1:9" ht="12.75">
      <c r="A18" s="125">
        <v>8</v>
      </c>
      <c r="B18" s="165">
        <v>5241010</v>
      </c>
      <c r="C18" s="157" t="s">
        <v>399</v>
      </c>
      <c r="D18" s="160" t="s">
        <v>25</v>
      </c>
      <c r="E18" s="161">
        <v>1</v>
      </c>
      <c r="F18" s="404">
        <v>0</v>
      </c>
      <c r="G18" s="159">
        <f t="shared" si="0"/>
        <v>0</v>
      </c>
      <c r="H18" s="159">
        <v>0</v>
      </c>
      <c r="I18" s="159">
        <v>0</v>
      </c>
    </row>
    <row r="19" spans="1:9" ht="12.75">
      <c r="A19" s="125"/>
      <c r="B19" s="165"/>
      <c r="C19" s="156"/>
      <c r="D19" s="160"/>
      <c r="E19" s="161"/>
      <c r="F19" s="404"/>
      <c r="G19" s="404"/>
      <c r="H19" s="404"/>
      <c r="I19" s="159">
        <v>0</v>
      </c>
    </row>
    <row r="20" spans="1:9" ht="12.75">
      <c r="A20" s="125"/>
      <c r="B20" s="162"/>
      <c r="C20" s="163" t="s">
        <v>419</v>
      </c>
      <c r="D20" s="164"/>
      <c r="E20" s="164"/>
      <c r="F20" s="405"/>
      <c r="G20" s="405"/>
      <c r="H20" s="405"/>
      <c r="I20" s="159">
        <v>0</v>
      </c>
    </row>
    <row r="21" spans="1:12" s="13" customFormat="1" ht="12.75" customHeight="1">
      <c r="A21" s="219">
        <v>9</v>
      </c>
      <c r="B21" s="165">
        <v>600001000</v>
      </c>
      <c r="C21" s="220" t="s">
        <v>444</v>
      </c>
      <c r="D21" s="167" t="s">
        <v>25</v>
      </c>
      <c r="E21" s="158">
        <v>1</v>
      </c>
      <c r="F21" s="404">
        <v>0</v>
      </c>
      <c r="G21" s="159">
        <f t="shared" si="0"/>
        <v>0</v>
      </c>
      <c r="H21" s="159">
        <v>0</v>
      </c>
      <c r="I21" s="159">
        <v>0</v>
      </c>
      <c r="J21" s="221"/>
      <c r="K21" s="15"/>
      <c r="L21" s="15"/>
    </row>
    <row r="22" spans="1:9" ht="12.75">
      <c r="A22" s="125"/>
      <c r="B22" s="162"/>
      <c r="C22" s="163"/>
      <c r="D22" s="164"/>
      <c r="E22" s="164"/>
      <c r="F22" s="405"/>
      <c r="G22" s="405"/>
      <c r="H22" s="405"/>
      <c r="I22" s="405"/>
    </row>
    <row r="23" spans="1:9" ht="12.75">
      <c r="A23" s="125"/>
      <c r="B23" s="162"/>
      <c r="C23" s="163" t="s">
        <v>420</v>
      </c>
      <c r="D23" s="164"/>
      <c r="E23" s="164"/>
      <c r="F23" s="405"/>
      <c r="G23" s="405"/>
      <c r="H23" s="405"/>
      <c r="I23" s="405"/>
    </row>
    <row r="24" spans="1:9" ht="12.75">
      <c r="A24" s="125">
        <v>10</v>
      </c>
      <c r="B24" s="165">
        <v>12203000</v>
      </c>
      <c r="C24" s="157" t="s">
        <v>389</v>
      </c>
      <c r="D24" s="167" t="s">
        <v>25</v>
      </c>
      <c r="E24" s="158">
        <v>1</v>
      </c>
      <c r="F24" s="404">
        <v>0</v>
      </c>
      <c r="G24" s="159">
        <f t="shared" si="0"/>
        <v>0</v>
      </c>
      <c r="H24" s="159">
        <v>0</v>
      </c>
      <c r="I24" s="159">
        <v>0</v>
      </c>
    </row>
    <row r="25" spans="1:9" ht="12.75">
      <c r="A25" s="125">
        <v>11</v>
      </c>
      <c r="B25" s="165">
        <v>12203001</v>
      </c>
      <c r="C25" s="157" t="s">
        <v>390</v>
      </c>
      <c r="D25" s="167" t="s">
        <v>25</v>
      </c>
      <c r="E25" s="158">
        <v>1</v>
      </c>
      <c r="F25" s="404">
        <v>0</v>
      </c>
      <c r="G25" s="159">
        <f t="shared" si="0"/>
        <v>0</v>
      </c>
      <c r="H25" s="159">
        <v>0</v>
      </c>
      <c r="I25" s="159">
        <v>0</v>
      </c>
    </row>
    <row r="26" spans="1:9" ht="16.5" customHeight="1">
      <c r="A26" s="222"/>
      <c r="B26" s="223"/>
      <c r="C26" s="224" t="s">
        <v>421</v>
      </c>
      <c r="D26" s="225"/>
      <c r="E26" s="225"/>
      <c r="F26" s="223"/>
      <c r="G26" s="226">
        <f>SUM(G6:G25)</f>
        <v>0</v>
      </c>
      <c r="H26" s="226">
        <f>SUM(H6:H25)</f>
        <v>0</v>
      </c>
      <c r="I26" s="226">
        <f>SUM(I6:I25)</f>
        <v>0</v>
      </c>
    </row>
    <row r="27" ht="12.75">
      <c r="E27" s="12"/>
    </row>
    <row r="28" ht="12.75">
      <c r="E28" s="12"/>
    </row>
    <row r="29" ht="12.75">
      <c r="E29" s="12"/>
    </row>
    <row r="30" ht="12.75">
      <c r="E30" s="12"/>
    </row>
    <row r="31" ht="12.75">
      <c r="E31" s="12"/>
    </row>
    <row r="32" ht="12.75">
      <c r="E32" s="12"/>
    </row>
    <row r="33" ht="12.75">
      <c r="E33" s="12"/>
    </row>
    <row r="34" ht="12.75">
      <c r="E34" s="12"/>
    </row>
    <row r="35" ht="12.75">
      <c r="E35" s="12"/>
    </row>
    <row r="36" ht="12.75">
      <c r="E36" s="12"/>
    </row>
    <row r="37" ht="12.75">
      <c r="E37" s="12"/>
    </row>
    <row r="38" ht="12.75">
      <c r="E38" s="12"/>
    </row>
    <row r="39" ht="12.75">
      <c r="E39" s="12"/>
    </row>
    <row r="40" ht="12.75">
      <c r="E40" s="12"/>
    </row>
    <row r="41" ht="12.75">
      <c r="E41" s="12"/>
    </row>
    <row r="42" ht="12.75">
      <c r="E42" s="12"/>
    </row>
    <row r="43" ht="12.75">
      <c r="E43" s="12"/>
    </row>
    <row r="44" ht="12.75">
      <c r="E44" s="12"/>
    </row>
    <row r="45" ht="12.75">
      <c r="E45" s="12"/>
    </row>
    <row r="46" ht="12.75">
      <c r="E46" s="12"/>
    </row>
    <row r="47" ht="12.75">
      <c r="E47" s="12"/>
    </row>
    <row r="48" ht="12.75">
      <c r="E48" s="12"/>
    </row>
    <row r="49" ht="12.75">
      <c r="E49" s="12"/>
    </row>
    <row r="50" ht="12.75">
      <c r="E50" s="12"/>
    </row>
    <row r="51" ht="12.75">
      <c r="E51" s="12"/>
    </row>
    <row r="52" ht="12.75">
      <c r="E52" s="12"/>
    </row>
    <row r="53" ht="12.75">
      <c r="E53" s="12"/>
    </row>
    <row r="54" spans="1:2" ht="12.75">
      <c r="A54" s="19"/>
      <c r="B54" s="46"/>
    </row>
    <row r="55" spans="1:9" ht="12.75">
      <c r="A55" s="18"/>
      <c r="B55" s="45"/>
      <c r="C55" s="21"/>
      <c r="D55" s="21"/>
      <c r="E55" s="22"/>
      <c r="F55" s="21"/>
      <c r="G55" s="23"/>
      <c r="H55" s="23"/>
      <c r="I55" s="23"/>
    </row>
    <row r="56" spans="1:9" ht="12.75">
      <c r="A56" s="24"/>
      <c r="B56" s="47"/>
      <c r="C56" s="18"/>
      <c r="D56" s="18"/>
      <c r="E56" s="25"/>
      <c r="F56" s="18"/>
      <c r="G56" s="18"/>
      <c r="H56" s="18"/>
      <c r="I56" s="18"/>
    </row>
    <row r="57" spans="1:9" ht="12.75">
      <c r="A57" s="18"/>
      <c r="B57" s="45"/>
      <c r="C57" s="18"/>
      <c r="D57" s="18"/>
      <c r="E57" s="25"/>
      <c r="F57" s="18"/>
      <c r="G57" s="18"/>
      <c r="H57" s="18"/>
      <c r="I57" s="18"/>
    </row>
    <row r="58" spans="1:9" ht="12.75">
      <c r="A58" s="18"/>
      <c r="B58" s="45"/>
      <c r="C58" s="18"/>
      <c r="D58" s="18"/>
      <c r="E58" s="25"/>
      <c r="F58" s="18"/>
      <c r="G58" s="18"/>
      <c r="H58" s="18"/>
      <c r="I58" s="18"/>
    </row>
    <row r="59" spans="1:9" ht="12.75">
      <c r="A59" s="18"/>
      <c r="B59" s="45"/>
      <c r="C59" s="18"/>
      <c r="D59" s="18"/>
      <c r="E59" s="25"/>
      <c r="F59" s="18"/>
      <c r="G59" s="18"/>
      <c r="H59" s="18"/>
      <c r="I59" s="18"/>
    </row>
    <row r="60" spans="1:9" ht="12.75">
      <c r="A60" s="18"/>
      <c r="B60" s="45"/>
      <c r="C60" s="18"/>
      <c r="D60" s="18"/>
      <c r="E60" s="25"/>
      <c r="F60" s="18"/>
      <c r="G60" s="18"/>
      <c r="H60" s="18"/>
      <c r="I60" s="18"/>
    </row>
    <row r="61" spans="1:9" ht="12.75">
      <c r="A61" s="18"/>
      <c r="B61" s="45"/>
      <c r="C61" s="18"/>
      <c r="D61" s="18"/>
      <c r="E61" s="25"/>
      <c r="F61" s="18"/>
      <c r="G61" s="18"/>
      <c r="H61" s="18"/>
      <c r="I61" s="18"/>
    </row>
    <row r="62" spans="1:9" ht="12.75">
      <c r="A62" s="18"/>
      <c r="B62" s="45"/>
      <c r="C62" s="18"/>
      <c r="D62" s="18"/>
      <c r="E62" s="25"/>
      <c r="F62" s="18"/>
      <c r="G62" s="18"/>
      <c r="H62" s="18"/>
      <c r="I62" s="18"/>
    </row>
    <row r="63" spans="1:9" ht="12.75">
      <c r="A63" s="18"/>
      <c r="B63" s="45"/>
      <c r="C63" s="18"/>
      <c r="D63" s="18"/>
      <c r="E63" s="25"/>
      <c r="F63" s="18"/>
      <c r="G63" s="18"/>
      <c r="H63" s="18"/>
      <c r="I63" s="18"/>
    </row>
    <row r="64" spans="1:9" ht="12.75">
      <c r="A64" s="18"/>
      <c r="B64" s="45"/>
      <c r="C64" s="18"/>
      <c r="D64" s="18"/>
      <c r="E64" s="25"/>
      <c r="F64" s="18"/>
      <c r="G64" s="18"/>
      <c r="H64" s="18"/>
      <c r="I64" s="18"/>
    </row>
    <row r="65" spans="1:9" ht="12.75">
      <c r="A65" s="18"/>
      <c r="B65" s="45"/>
      <c r="C65" s="18"/>
      <c r="D65" s="18"/>
      <c r="E65" s="25"/>
      <c r="F65" s="18"/>
      <c r="G65" s="18"/>
      <c r="H65" s="18"/>
      <c r="I65" s="18"/>
    </row>
    <row r="66" spans="1:9" ht="12.75">
      <c r="A66" s="18"/>
      <c r="B66" s="45"/>
      <c r="C66" s="18"/>
      <c r="D66" s="18"/>
      <c r="E66" s="25"/>
      <c r="F66" s="18"/>
      <c r="G66" s="18"/>
      <c r="H66" s="18"/>
      <c r="I66" s="18"/>
    </row>
    <row r="67" spans="1:9" ht="12.75">
      <c r="A67" s="18"/>
      <c r="B67" s="45"/>
      <c r="C67" s="18"/>
      <c r="D67" s="18"/>
      <c r="E67" s="25"/>
      <c r="F67" s="18"/>
      <c r="G67" s="18"/>
      <c r="H67" s="18"/>
      <c r="I67" s="18"/>
    </row>
    <row r="68" spans="1:9" ht="12.75">
      <c r="A68" s="18"/>
      <c r="B68" s="45"/>
      <c r="C68" s="18"/>
      <c r="D68" s="18"/>
      <c r="E68" s="25"/>
      <c r="F68" s="18"/>
      <c r="G68" s="18"/>
      <c r="H68" s="18"/>
      <c r="I68" s="18"/>
    </row>
  </sheetData>
  <sheetProtection/>
  <mergeCells count="1">
    <mergeCell ref="A2:B2"/>
  </mergeCells>
  <printOptions horizontalCentered="1"/>
  <pageMargins left="0.5905511811023623" right="0.3937007874015748" top="0.5905511811023623" bottom="0.1968503937007874"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showGridLines="0" view="pageBreakPreview" zoomScale="85" zoomScaleNormal="85" zoomScaleSheetLayoutView="85" zoomScalePageLayoutView="70" workbookViewId="0" topLeftCell="A1">
      <selection activeCell="A1" sqref="A1"/>
    </sheetView>
  </sheetViews>
  <sheetFormatPr defaultColWidth="9.00390625" defaultRowHeight="12.75"/>
  <cols>
    <col min="1" max="1" width="4.375" style="1" customWidth="1"/>
    <col min="2" max="2" width="19.75390625" style="11" customWidth="1"/>
    <col min="3" max="3" width="65.125" style="0" customWidth="1"/>
    <col min="4" max="4" width="4.75390625" style="0" customWidth="1"/>
    <col min="5" max="5" width="12.00390625" style="40" customWidth="1"/>
    <col min="6" max="6" width="11.00390625" style="40" customWidth="1"/>
    <col min="7" max="9" width="16.00390625" style="0" customWidth="1"/>
  </cols>
  <sheetData>
    <row r="1" spans="1:9" s="1" customFormat="1" ht="23.25" customHeight="1">
      <c r="A1" s="217" t="s">
        <v>28</v>
      </c>
      <c r="B1" s="217"/>
      <c r="C1" s="397"/>
      <c r="D1" s="217"/>
      <c r="E1" s="217"/>
      <c r="F1" s="217"/>
      <c r="G1" s="48"/>
      <c r="H1" s="48"/>
      <c r="I1" s="48"/>
    </row>
    <row r="2" spans="1:9" s="1" customFormat="1" ht="18.75" customHeight="1">
      <c r="A2" s="526" t="s">
        <v>220</v>
      </c>
      <c r="B2" s="526"/>
      <c r="C2" s="555" t="s">
        <v>1726</v>
      </c>
      <c r="D2" s="555"/>
      <c r="E2" s="155"/>
      <c r="F2" s="525"/>
      <c r="G2" s="525"/>
      <c r="H2" s="48"/>
      <c r="I2" s="48"/>
    </row>
    <row r="3" spans="1:9" s="1" customFormat="1" ht="11.25" customHeight="1">
      <c r="A3" s="527" t="s">
        <v>29</v>
      </c>
      <c r="B3" s="50" t="s">
        <v>30</v>
      </c>
      <c r="C3" s="529" t="s">
        <v>31</v>
      </c>
      <c r="D3" s="531" t="s">
        <v>184</v>
      </c>
      <c r="E3" s="533" t="s">
        <v>185</v>
      </c>
      <c r="F3" s="149" t="s">
        <v>32</v>
      </c>
      <c r="G3" s="559" t="s">
        <v>1728</v>
      </c>
      <c r="H3" s="539" t="s">
        <v>1729</v>
      </c>
      <c r="I3" s="553" t="s">
        <v>1730</v>
      </c>
    </row>
    <row r="4" spans="1:9" s="1" customFormat="1" ht="11.25" customHeight="1">
      <c r="A4" s="528"/>
      <c r="B4" s="49" t="s">
        <v>33</v>
      </c>
      <c r="C4" s="530"/>
      <c r="D4" s="532"/>
      <c r="E4" s="534"/>
      <c r="F4" s="148" t="s">
        <v>34</v>
      </c>
      <c r="G4" s="560"/>
      <c r="H4" s="552"/>
      <c r="I4" s="554"/>
    </row>
    <row r="5" spans="1:9" s="1" customFormat="1" ht="9.75" customHeight="1">
      <c r="A5" s="51">
        <v>1</v>
      </c>
      <c r="B5" s="52">
        <v>2</v>
      </c>
      <c r="C5" s="52">
        <v>3</v>
      </c>
      <c r="D5" s="53">
        <v>4</v>
      </c>
      <c r="E5" s="184">
        <v>5</v>
      </c>
      <c r="F5" s="185">
        <v>6</v>
      </c>
      <c r="G5" s="52">
        <v>7</v>
      </c>
      <c r="H5" s="497">
        <v>8</v>
      </c>
      <c r="I5" s="496">
        <v>9</v>
      </c>
    </row>
    <row r="6" spans="2:7" s="1" customFormat="1" ht="17.25" customHeight="1">
      <c r="B6" s="30" t="s">
        <v>19</v>
      </c>
      <c r="C6" s="561" t="s">
        <v>61</v>
      </c>
      <c r="D6" s="561"/>
      <c r="E6" s="561"/>
      <c r="F6" s="561"/>
      <c r="G6" s="561"/>
    </row>
    <row r="7" spans="2:7" s="1" customFormat="1" ht="17.25" customHeight="1">
      <c r="B7" s="31" t="s">
        <v>5</v>
      </c>
      <c r="C7" s="538" t="s">
        <v>1114</v>
      </c>
      <c r="D7" s="538"/>
      <c r="E7" s="538"/>
      <c r="F7" s="538"/>
      <c r="G7" s="538"/>
    </row>
    <row r="8" spans="1:9" s="1" customFormat="1" ht="17.25" customHeight="1">
      <c r="A8" s="3" t="s">
        <v>41</v>
      </c>
      <c r="B8" s="32" t="s">
        <v>62</v>
      </c>
      <c r="C8" s="377" t="s">
        <v>63</v>
      </c>
      <c r="D8" s="378" t="s">
        <v>26</v>
      </c>
      <c r="E8" s="450">
        <v>1980</v>
      </c>
      <c r="F8" s="451">
        <v>0</v>
      </c>
      <c r="G8" s="450">
        <f>E8*F8</f>
        <v>0</v>
      </c>
      <c r="H8" s="450">
        <v>0</v>
      </c>
      <c r="I8" s="450">
        <v>0</v>
      </c>
    </row>
    <row r="9" spans="1:9" s="1" customFormat="1" ht="17.25" customHeight="1">
      <c r="A9" s="3"/>
      <c r="B9" s="32"/>
      <c r="C9" s="382" t="s">
        <v>1113</v>
      </c>
      <c r="D9" s="3"/>
      <c r="E9" s="450"/>
      <c r="F9" s="451"/>
      <c r="G9" s="450"/>
      <c r="H9" s="450"/>
      <c r="I9" s="450"/>
    </row>
    <row r="10" spans="1:9" s="7" customFormat="1" ht="17.25" customHeight="1">
      <c r="A10" s="186" t="s">
        <v>44</v>
      </c>
      <c r="B10" s="35" t="s">
        <v>1170</v>
      </c>
      <c r="C10" s="377" t="s">
        <v>1115</v>
      </c>
      <c r="D10" s="186" t="s">
        <v>26</v>
      </c>
      <c r="E10" s="450">
        <v>1980</v>
      </c>
      <c r="F10" s="451">
        <v>0</v>
      </c>
      <c r="G10" s="450">
        <f>E10*F10</f>
        <v>0</v>
      </c>
      <c r="H10" s="450">
        <v>0</v>
      </c>
      <c r="I10" s="450">
        <v>0</v>
      </c>
    </row>
    <row r="11" spans="1:9" s="7" customFormat="1" ht="17.25" customHeight="1">
      <c r="A11" s="186" t="s">
        <v>46</v>
      </c>
      <c r="B11" s="35" t="s">
        <v>1172</v>
      </c>
      <c r="C11" s="383" t="s">
        <v>183</v>
      </c>
      <c r="D11" s="186" t="s">
        <v>26</v>
      </c>
      <c r="E11" s="450">
        <v>1980</v>
      </c>
      <c r="F11" s="451">
        <v>0</v>
      </c>
      <c r="G11" s="450">
        <f>E11*F11</f>
        <v>0</v>
      </c>
      <c r="H11" s="450">
        <v>0</v>
      </c>
      <c r="I11" s="450">
        <v>0</v>
      </c>
    </row>
    <row r="12" spans="1:9" s="1" customFormat="1" ht="17.25" customHeight="1">
      <c r="A12" s="3" t="s">
        <v>0</v>
      </c>
      <c r="B12" s="32" t="s">
        <v>179</v>
      </c>
      <c r="C12" s="377" t="s">
        <v>422</v>
      </c>
      <c r="D12" s="3" t="s">
        <v>54</v>
      </c>
      <c r="E12" s="450">
        <v>226</v>
      </c>
      <c r="F12" s="451">
        <v>0</v>
      </c>
      <c r="G12" s="450">
        <f>E12*F12</f>
        <v>0</v>
      </c>
      <c r="H12" s="450">
        <v>0</v>
      </c>
      <c r="I12" s="450">
        <v>0</v>
      </c>
    </row>
    <row r="13" spans="1:9" s="1" customFormat="1" ht="17.25" customHeight="1">
      <c r="A13" s="3"/>
      <c r="B13" s="32"/>
      <c r="C13" s="34" t="s">
        <v>423</v>
      </c>
      <c r="D13" s="3"/>
      <c r="E13" s="351"/>
      <c r="F13" s="150"/>
      <c r="G13" s="4"/>
      <c r="H13" s="4"/>
      <c r="I13" s="4"/>
    </row>
    <row r="14" spans="1:9" s="1" customFormat="1" ht="17.25" customHeight="1">
      <c r="A14" s="3" t="s">
        <v>49</v>
      </c>
      <c r="B14" s="35" t="s">
        <v>1171</v>
      </c>
      <c r="C14" s="377" t="s">
        <v>1173</v>
      </c>
      <c r="D14" s="3" t="s">
        <v>26</v>
      </c>
      <c r="E14" s="450">
        <v>1980</v>
      </c>
      <c r="F14" s="451">
        <v>0</v>
      </c>
      <c r="G14" s="450">
        <f>E14*F14</f>
        <v>0</v>
      </c>
      <c r="H14" s="450">
        <v>0</v>
      </c>
      <c r="I14" s="450">
        <v>0</v>
      </c>
    </row>
    <row r="15" spans="2:9" s="1" customFormat="1" ht="17.25" customHeight="1">
      <c r="B15" s="33" t="s">
        <v>5</v>
      </c>
      <c r="C15" s="536" t="s">
        <v>64</v>
      </c>
      <c r="D15" s="536"/>
      <c r="E15" s="536"/>
      <c r="F15" s="5"/>
      <c r="G15" s="5">
        <f>SUM(G8:G14)</f>
        <v>0</v>
      </c>
      <c r="H15" s="5">
        <f>SUM(H8:H14)</f>
        <v>0</v>
      </c>
      <c r="I15" s="5">
        <f>SUM(I8:I14)</f>
        <v>0</v>
      </c>
    </row>
    <row r="16" spans="2:7" s="1" customFormat="1" ht="17.25" customHeight="1">
      <c r="B16" s="31" t="s">
        <v>65</v>
      </c>
      <c r="C16" s="538" t="s">
        <v>66</v>
      </c>
      <c r="D16" s="538"/>
      <c r="E16" s="538"/>
      <c r="F16" s="538"/>
      <c r="G16" s="538"/>
    </row>
    <row r="17" spans="1:9" s="1" customFormat="1" ht="17.25" customHeight="1">
      <c r="A17" s="3" t="s">
        <v>35</v>
      </c>
      <c r="B17" s="32" t="s">
        <v>58</v>
      </c>
      <c r="C17" s="39" t="s">
        <v>218</v>
      </c>
      <c r="D17" s="3" t="s">
        <v>54</v>
      </c>
      <c r="E17" s="4">
        <v>14</v>
      </c>
      <c r="F17" s="150">
        <v>0</v>
      </c>
      <c r="G17" s="4">
        <f>E17*F17</f>
        <v>0</v>
      </c>
      <c r="H17" s="450">
        <v>0</v>
      </c>
      <c r="I17" s="450">
        <v>0</v>
      </c>
    </row>
    <row r="18" spans="2:9" s="1" customFormat="1" ht="17.25" customHeight="1">
      <c r="B18" s="33" t="s">
        <v>65</v>
      </c>
      <c r="C18" s="536" t="s">
        <v>66</v>
      </c>
      <c r="D18" s="536"/>
      <c r="E18" s="536"/>
      <c r="F18" s="5"/>
      <c r="G18" s="5">
        <f>SUM(G17)</f>
        <v>0</v>
      </c>
      <c r="H18" s="5">
        <f>SUM(H17)</f>
        <v>0</v>
      </c>
      <c r="I18" s="5">
        <f>SUM(I17)</f>
        <v>0</v>
      </c>
    </row>
    <row r="19" spans="2:9" s="1" customFormat="1" ht="17.25" customHeight="1">
      <c r="B19" s="30" t="s">
        <v>19</v>
      </c>
      <c r="C19" s="2" t="s">
        <v>4</v>
      </c>
      <c r="D19" s="561"/>
      <c r="E19" s="561"/>
      <c r="F19" s="6"/>
      <c r="G19" s="6">
        <f>SUM(G15+G18)</f>
        <v>0</v>
      </c>
      <c r="H19" s="6">
        <f>SUM(H15+H18)</f>
        <v>0</v>
      </c>
      <c r="I19" s="6">
        <f>SUM(I15+I18)</f>
        <v>0</v>
      </c>
    </row>
    <row r="20" spans="2:7" s="7" customFormat="1" ht="17.25" customHeight="1">
      <c r="B20" s="187" t="s">
        <v>21</v>
      </c>
      <c r="C20" s="558" t="s">
        <v>191</v>
      </c>
      <c r="D20" s="558"/>
      <c r="E20" s="558"/>
      <c r="F20" s="558"/>
      <c r="G20" s="558"/>
    </row>
    <row r="21" spans="1:9" s="1" customFormat="1" ht="17.25" customHeight="1">
      <c r="A21" s="3" t="s">
        <v>37</v>
      </c>
      <c r="B21" s="32" t="s">
        <v>67</v>
      </c>
      <c r="C21" s="39" t="s">
        <v>68</v>
      </c>
      <c r="D21" s="3" t="s">
        <v>178</v>
      </c>
      <c r="E21" s="4">
        <v>3</v>
      </c>
      <c r="F21" s="150">
        <v>0</v>
      </c>
      <c r="G21" s="4">
        <f>E21*F21</f>
        <v>0</v>
      </c>
      <c r="H21" s="450">
        <v>0</v>
      </c>
      <c r="I21" s="450">
        <v>0</v>
      </c>
    </row>
    <row r="22" spans="1:9" s="1" customFormat="1" ht="17.25" customHeight="1">
      <c r="A22" s="3" t="s">
        <v>38</v>
      </c>
      <c r="B22" s="32" t="s">
        <v>1174</v>
      </c>
      <c r="C22" s="39" t="s">
        <v>449</v>
      </c>
      <c r="D22" s="3" t="s">
        <v>54</v>
      </c>
      <c r="E22" s="147">
        <v>46</v>
      </c>
      <c r="F22" s="452">
        <v>0</v>
      </c>
      <c r="G22" s="147">
        <f>E22*F22</f>
        <v>0</v>
      </c>
      <c r="H22" s="450">
        <v>0</v>
      </c>
      <c r="I22" s="450">
        <v>0</v>
      </c>
    </row>
    <row r="23" spans="1:9" s="1" customFormat="1" ht="17.25" customHeight="1">
      <c r="A23" s="3"/>
      <c r="B23" s="406"/>
      <c r="C23" s="34" t="s">
        <v>1175</v>
      </c>
      <c r="D23" s="34"/>
      <c r="E23" s="34"/>
      <c r="F23" s="34"/>
      <c r="G23" s="4"/>
      <c r="H23" s="4"/>
      <c r="I23" s="4"/>
    </row>
    <row r="24" spans="1:9" s="1" customFormat="1" ht="17.25" customHeight="1">
      <c r="A24" s="3" t="s">
        <v>39</v>
      </c>
      <c r="B24" s="32" t="s">
        <v>1174</v>
      </c>
      <c r="C24" s="39" t="s">
        <v>449</v>
      </c>
      <c r="D24" s="3" t="s">
        <v>54</v>
      </c>
      <c r="E24" s="4">
        <v>11</v>
      </c>
      <c r="F24" s="150">
        <v>0</v>
      </c>
      <c r="G24" s="4">
        <f>E24*F24</f>
        <v>0</v>
      </c>
      <c r="H24" s="450">
        <v>0</v>
      </c>
      <c r="I24" s="450">
        <v>0</v>
      </c>
    </row>
    <row r="25" spans="1:9" s="1" customFormat="1" ht="17.25" customHeight="1">
      <c r="A25" s="3"/>
      <c r="B25" s="407"/>
      <c r="C25" s="34" t="s">
        <v>1175</v>
      </c>
      <c r="D25" s="407"/>
      <c r="E25" s="408"/>
      <c r="F25" s="408"/>
      <c r="G25" s="408"/>
      <c r="H25" s="408"/>
      <c r="I25" s="408"/>
    </row>
    <row r="26" spans="2:9" s="1" customFormat="1" ht="17.25" customHeight="1">
      <c r="B26" s="33" t="s">
        <v>21</v>
      </c>
      <c r="C26" s="536" t="s">
        <v>191</v>
      </c>
      <c r="D26" s="536"/>
      <c r="E26" s="536"/>
      <c r="F26" s="5"/>
      <c r="G26" s="5">
        <f>SUM(G21:G24)</f>
        <v>0</v>
      </c>
      <c r="H26" s="5">
        <f>SUM(H21:H24)</f>
        <v>0</v>
      </c>
      <c r="I26" s="5">
        <f>SUM(I21:J24)</f>
        <v>0</v>
      </c>
    </row>
    <row r="27" spans="2:7" s="7" customFormat="1" ht="17.25" customHeight="1">
      <c r="B27" s="187" t="s">
        <v>22</v>
      </c>
      <c r="C27" s="558" t="s">
        <v>69</v>
      </c>
      <c r="D27" s="558"/>
      <c r="E27" s="558"/>
      <c r="F27" s="558"/>
      <c r="G27" s="558"/>
    </row>
    <row r="28" spans="1:9" s="1" customFormat="1" ht="17.25" customHeight="1">
      <c r="A28" s="3" t="s">
        <v>35</v>
      </c>
      <c r="B28" s="32" t="s">
        <v>60</v>
      </c>
      <c r="C28" s="39" t="s">
        <v>70</v>
      </c>
      <c r="D28" s="3" t="s">
        <v>178</v>
      </c>
      <c r="E28" s="4">
        <v>1</v>
      </c>
      <c r="F28" s="150">
        <v>0</v>
      </c>
      <c r="G28" s="4">
        <f>E28*F28</f>
        <v>0</v>
      </c>
      <c r="H28" s="450">
        <v>0</v>
      </c>
      <c r="I28" s="450">
        <v>0</v>
      </c>
    </row>
    <row r="29" spans="1:9" s="1" customFormat="1" ht="17.25" customHeight="1">
      <c r="A29" s="3" t="s">
        <v>37</v>
      </c>
      <c r="B29" s="32" t="s">
        <v>58</v>
      </c>
      <c r="C29" s="39" t="s">
        <v>71</v>
      </c>
      <c r="D29" s="3" t="s">
        <v>54</v>
      </c>
      <c r="E29" s="4">
        <v>226</v>
      </c>
      <c r="F29" s="150">
        <v>0</v>
      </c>
      <c r="G29" s="4">
        <f>E29*F29</f>
        <v>0</v>
      </c>
      <c r="H29" s="450">
        <v>0</v>
      </c>
      <c r="I29" s="450">
        <v>0</v>
      </c>
    </row>
    <row r="30" spans="2:9" s="1" customFormat="1" ht="17.25" customHeight="1">
      <c r="B30" s="33" t="s">
        <v>22</v>
      </c>
      <c r="C30" s="536" t="s">
        <v>69</v>
      </c>
      <c r="D30" s="536"/>
      <c r="E30" s="536"/>
      <c r="F30" s="5"/>
      <c r="G30" s="5">
        <f>SUM(G28:G29)</f>
        <v>0</v>
      </c>
      <c r="H30" s="5">
        <f>SUM(H28:H29)</f>
        <v>0</v>
      </c>
      <c r="I30" s="5">
        <f>SUM(I28:J29)</f>
        <v>0</v>
      </c>
    </row>
    <row r="31" spans="2:7" ht="17.25" customHeight="1">
      <c r="B31" s="31" t="s">
        <v>72</v>
      </c>
      <c r="C31" s="557" t="s">
        <v>73</v>
      </c>
      <c r="D31" s="538"/>
      <c r="E31" s="538"/>
      <c r="F31" s="538"/>
      <c r="G31" s="538"/>
    </row>
    <row r="32" spans="1:9" ht="17.25" customHeight="1">
      <c r="A32" s="169" t="s">
        <v>35</v>
      </c>
      <c r="B32" s="168" t="s">
        <v>433</v>
      </c>
      <c r="C32" s="175" t="s">
        <v>74</v>
      </c>
      <c r="D32" s="179" t="s">
        <v>26</v>
      </c>
      <c r="E32" s="170">
        <v>17</v>
      </c>
      <c r="F32" s="171">
        <v>0</v>
      </c>
      <c r="G32" s="170">
        <f>E32*F32</f>
        <v>0</v>
      </c>
      <c r="H32" s="450">
        <v>0</v>
      </c>
      <c r="I32" s="450">
        <v>0</v>
      </c>
    </row>
    <row r="33" spans="1:9" ht="17.25" customHeight="1">
      <c r="A33" s="174" t="s">
        <v>37</v>
      </c>
      <c r="B33" s="178" t="s">
        <v>434</v>
      </c>
      <c r="C33" s="183" t="s">
        <v>437</v>
      </c>
      <c r="D33" s="180" t="s">
        <v>25</v>
      </c>
      <c r="E33" s="176">
        <v>1</v>
      </c>
      <c r="F33" s="176">
        <v>0</v>
      </c>
      <c r="G33" s="176">
        <f>E33*F33</f>
        <v>0</v>
      </c>
      <c r="H33" s="450">
        <v>0</v>
      </c>
      <c r="I33" s="450">
        <v>0</v>
      </c>
    </row>
    <row r="34" spans="1:9" ht="17.25" customHeight="1">
      <c r="A34" s="172"/>
      <c r="B34" s="172"/>
      <c r="C34" s="177" t="s">
        <v>441</v>
      </c>
      <c r="D34" s="172"/>
      <c r="E34" s="173"/>
      <c r="F34" s="173"/>
      <c r="G34" s="173"/>
      <c r="H34" s="173"/>
      <c r="I34" s="173"/>
    </row>
    <row r="35" spans="1:9" ht="17.25" customHeight="1">
      <c r="A35" s="172"/>
      <c r="B35" s="172"/>
      <c r="C35" s="177" t="s">
        <v>435</v>
      </c>
      <c r="D35" s="172"/>
      <c r="E35" s="173"/>
      <c r="F35" s="173"/>
      <c r="G35" s="173"/>
      <c r="H35" s="173"/>
      <c r="I35" s="173"/>
    </row>
    <row r="36" spans="1:9" ht="17.25" customHeight="1">
      <c r="A36" s="172"/>
      <c r="B36" s="172"/>
      <c r="C36" s="177" t="s">
        <v>436</v>
      </c>
      <c r="D36" s="172"/>
      <c r="E36" s="173"/>
      <c r="F36" s="173"/>
      <c r="G36" s="173"/>
      <c r="H36" s="173"/>
      <c r="I36" s="173"/>
    </row>
    <row r="37" spans="1:9" ht="17.25" customHeight="1">
      <c r="A37" s="172"/>
      <c r="B37" s="172"/>
      <c r="C37" s="177" t="s">
        <v>438</v>
      </c>
      <c r="D37" s="172"/>
      <c r="E37" s="173"/>
      <c r="F37" s="173"/>
      <c r="G37" s="173"/>
      <c r="H37" s="173"/>
      <c r="I37" s="173"/>
    </row>
    <row r="38" spans="1:9" ht="17.25" customHeight="1">
      <c r="A38" s="172"/>
      <c r="B38" s="172"/>
      <c r="C38" s="177" t="s">
        <v>439</v>
      </c>
      <c r="D38" s="172"/>
      <c r="E38" s="173"/>
      <c r="F38" s="173"/>
      <c r="G38" s="173"/>
      <c r="H38" s="173"/>
      <c r="I38" s="173"/>
    </row>
    <row r="39" spans="1:9" ht="17.25" customHeight="1">
      <c r="A39" s="172"/>
      <c r="B39" s="172"/>
      <c r="C39" s="177" t="s">
        <v>440</v>
      </c>
      <c r="D39" s="172"/>
      <c r="E39" s="173"/>
      <c r="F39" s="173"/>
      <c r="G39" s="173"/>
      <c r="H39" s="173"/>
      <c r="I39" s="173"/>
    </row>
    <row r="40" spans="2:9" ht="17.25" customHeight="1">
      <c r="B40" s="54" t="s">
        <v>72</v>
      </c>
      <c r="C40" s="557" t="s">
        <v>73</v>
      </c>
      <c r="D40" s="557"/>
      <c r="E40" s="557"/>
      <c r="F40" s="152"/>
      <c r="G40" s="152">
        <f>SUM(G32:G33)</f>
        <v>0</v>
      </c>
      <c r="H40" s="152">
        <f>SUM(H32:H33)</f>
        <v>0</v>
      </c>
      <c r="I40" s="152">
        <f>SUM(I32:I33)</f>
        <v>0</v>
      </c>
    </row>
    <row r="41" spans="2:7" ht="17.25" customHeight="1">
      <c r="B41" s="31" t="s">
        <v>75</v>
      </c>
      <c r="C41" s="538" t="s">
        <v>76</v>
      </c>
      <c r="D41" s="538"/>
      <c r="E41" s="538"/>
      <c r="F41" s="538"/>
      <c r="G41" s="538"/>
    </row>
    <row r="42" spans="1:9" ht="17.25" customHeight="1">
      <c r="A42" s="3" t="s">
        <v>35</v>
      </c>
      <c r="B42" s="32" t="s">
        <v>77</v>
      </c>
      <c r="C42" s="39" t="s">
        <v>78</v>
      </c>
      <c r="D42" s="3" t="s">
        <v>188</v>
      </c>
      <c r="E42" s="147">
        <v>426</v>
      </c>
      <c r="F42" s="452">
        <v>0</v>
      </c>
      <c r="G42" s="147">
        <f>E42*F42</f>
        <v>0</v>
      </c>
      <c r="H42" s="450">
        <v>0</v>
      </c>
      <c r="I42" s="450">
        <v>0</v>
      </c>
    </row>
    <row r="43" spans="2:9" ht="17.25" customHeight="1">
      <c r="B43" s="33" t="s">
        <v>75</v>
      </c>
      <c r="C43" s="536" t="s">
        <v>76</v>
      </c>
      <c r="D43" s="536"/>
      <c r="E43" s="536"/>
      <c r="F43" s="5"/>
      <c r="G43" s="5">
        <f>SUM(G42)</f>
        <v>0</v>
      </c>
      <c r="H43" s="5">
        <f>SUM(H42)</f>
        <v>0</v>
      </c>
      <c r="I43" s="5">
        <f>SUM(I42)</f>
        <v>0</v>
      </c>
    </row>
    <row r="44" spans="2:9" ht="17.25" customHeight="1">
      <c r="B44" s="508" t="s">
        <v>52</v>
      </c>
      <c r="C44" s="509" t="s">
        <v>4</v>
      </c>
      <c r="D44" s="556"/>
      <c r="E44" s="556"/>
      <c r="F44" s="510"/>
      <c r="G44" s="510">
        <f>SUM(G19+G30+G26+G40+G43)</f>
        <v>0</v>
      </c>
      <c r="H44" s="510">
        <f>SUM(H19+H30+H26+H40+H43)</f>
        <v>0</v>
      </c>
      <c r="I44" s="510">
        <f>SUM(I19+I30+I26+I40+I43)</f>
        <v>0</v>
      </c>
    </row>
    <row r="45" spans="3:9" ht="12.75">
      <c r="C45" s="1"/>
      <c r="D45" s="1"/>
      <c r="E45" s="151"/>
      <c r="F45" s="151"/>
      <c r="G45" s="1"/>
      <c r="H45" s="1"/>
      <c r="I45" s="1"/>
    </row>
  </sheetData>
  <sheetProtection/>
  <mergeCells count="25">
    <mergeCell ref="C26:E26"/>
    <mergeCell ref="C27:G27"/>
    <mergeCell ref="C16:G16"/>
    <mergeCell ref="C18:E18"/>
    <mergeCell ref="G3:G4"/>
    <mergeCell ref="C15:E15"/>
    <mergeCell ref="C6:G6"/>
    <mergeCell ref="C7:G7"/>
    <mergeCell ref="D19:E19"/>
    <mergeCell ref="A2:B2"/>
    <mergeCell ref="C2:D2"/>
    <mergeCell ref="C30:E30"/>
    <mergeCell ref="C43:E43"/>
    <mergeCell ref="D44:E44"/>
    <mergeCell ref="C40:E40"/>
    <mergeCell ref="C41:G41"/>
    <mergeCell ref="C20:G20"/>
    <mergeCell ref="C31:G31"/>
    <mergeCell ref="F2:G2"/>
    <mergeCell ref="H3:H4"/>
    <mergeCell ref="I3:I4"/>
    <mergeCell ref="A3:A4"/>
    <mergeCell ref="C3:C4"/>
    <mergeCell ref="D3:D4"/>
    <mergeCell ref="E3:E4"/>
  </mergeCells>
  <printOptions horizontalCentered="1"/>
  <pageMargins left="0.3937007874015748" right="0.1968503937007874" top="0.984251968503937" bottom="0.984251968503937" header="0.5118110236220472" footer="0.5118110236220472"/>
  <pageSetup fitToHeight="3" fitToWidth="1" horizontalDpi="600" verticalDpi="600" orientation="portrait" paperSize="9" scale="60" r:id="rId1"/>
  <ignoredErrors>
    <ignoredError sqref="A30:A42 B30:B44 A24 A26:B29 B6:B9 A6:A15 B12:B13 A16:B21 B15 A22"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I74"/>
  <sheetViews>
    <sheetView showGridLines="0" view="pageBreakPreview" zoomScaleNormal="130" zoomScaleSheetLayoutView="100" zoomScalePageLayoutView="0" workbookViewId="0" topLeftCell="A1">
      <selection activeCell="A1" sqref="A1"/>
    </sheetView>
  </sheetViews>
  <sheetFormatPr defaultColWidth="9.00390625" defaultRowHeight="12.75"/>
  <cols>
    <col min="1" max="1" width="7.75390625" style="1" customWidth="1"/>
    <col min="2" max="2" width="15.125" style="11" customWidth="1"/>
    <col min="3" max="3" width="47.00390625" style="0" customWidth="1"/>
    <col min="4" max="4" width="4.75390625" style="0" customWidth="1"/>
    <col min="5" max="5" width="12.00390625" style="40" customWidth="1"/>
    <col min="6" max="6" width="11.00390625" style="40" customWidth="1"/>
    <col min="7" max="9" width="15.875" style="0" customWidth="1"/>
  </cols>
  <sheetData>
    <row r="1" spans="1:9" s="1" customFormat="1" ht="18.75" customHeight="1">
      <c r="A1" s="393" t="s">
        <v>28</v>
      </c>
      <c r="B1" s="393"/>
      <c r="C1" s="397"/>
      <c r="D1" s="398"/>
      <c r="E1" s="398"/>
      <c r="F1" s="525"/>
      <c r="G1" s="525"/>
      <c r="H1" s="525"/>
      <c r="I1" s="525"/>
    </row>
    <row r="2" spans="1:9" s="1" customFormat="1" ht="18.75" customHeight="1">
      <c r="A2" s="526" t="s">
        <v>220</v>
      </c>
      <c r="B2" s="526"/>
      <c r="C2" s="402" t="s">
        <v>1727</v>
      </c>
      <c r="D2" s="399"/>
      <c r="E2" s="398"/>
      <c r="F2" s="525"/>
      <c r="G2" s="525"/>
      <c r="H2" s="525"/>
      <c r="I2" s="525"/>
    </row>
    <row r="3" spans="1:9" s="1" customFormat="1" ht="11.25" customHeight="1">
      <c r="A3" s="527" t="s">
        <v>29</v>
      </c>
      <c r="B3" s="50" t="s">
        <v>30</v>
      </c>
      <c r="C3" s="529" t="s">
        <v>31</v>
      </c>
      <c r="D3" s="531" t="s">
        <v>184</v>
      </c>
      <c r="E3" s="533" t="s">
        <v>185</v>
      </c>
      <c r="F3" s="149" t="s">
        <v>32</v>
      </c>
      <c r="G3" s="529" t="s">
        <v>1728</v>
      </c>
      <c r="H3" s="539" t="s">
        <v>1729</v>
      </c>
      <c r="I3" s="541" t="s">
        <v>1730</v>
      </c>
    </row>
    <row r="4" spans="1:9" s="1" customFormat="1" ht="11.25" customHeight="1">
      <c r="A4" s="528"/>
      <c r="B4" s="49" t="s">
        <v>33</v>
      </c>
      <c r="C4" s="530"/>
      <c r="D4" s="532"/>
      <c r="E4" s="534"/>
      <c r="F4" s="148" t="s">
        <v>34</v>
      </c>
      <c r="G4" s="530"/>
      <c r="H4" s="540"/>
      <c r="I4" s="542"/>
    </row>
    <row r="5" spans="1:9" s="1" customFormat="1" ht="9.75" customHeight="1">
      <c r="A5" s="51">
        <v>1</v>
      </c>
      <c r="B5" s="52">
        <v>2</v>
      </c>
      <c r="C5" s="52">
        <v>3</v>
      </c>
      <c r="D5" s="53">
        <v>4</v>
      </c>
      <c r="E5" s="184">
        <v>5</v>
      </c>
      <c r="F5" s="185">
        <v>6</v>
      </c>
      <c r="G5" s="52">
        <v>7</v>
      </c>
      <c r="H5" s="497">
        <v>8</v>
      </c>
      <c r="I5" s="496">
        <v>9</v>
      </c>
    </row>
    <row r="6" spans="2:6" s="1" customFormat="1" ht="3.75" customHeight="1">
      <c r="B6" s="11"/>
      <c r="E6" s="151"/>
      <c r="F6" s="151"/>
    </row>
    <row r="7" spans="2:8" s="1" customFormat="1" ht="11.25" customHeight="1">
      <c r="B7" s="31" t="s">
        <v>7</v>
      </c>
      <c r="C7" s="538" t="s">
        <v>36</v>
      </c>
      <c r="D7" s="538"/>
      <c r="E7" s="538"/>
      <c r="F7" s="538"/>
      <c r="G7" s="538"/>
      <c r="H7" s="381"/>
    </row>
    <row r="8" spans="1:9" s="1" customFormat="1" ht="11.25" customHeight="1">
      <c r="A8" s="3" t="s">
        <v>35</v>
      </c>
      <c r="B8" s="32" t="s">
        <v>10</v>
      </c>
      <c r="C8" s="39" t="s">
        <v>11</v>
      </c>
      <c r="D8" s="3" t="s">
        <v>48</v>
      </c>
      <c r="E8" s="4">
        <v>768</v>
      </c>
      <c r="F8" s="150">
        <v>0</v>
      </c>
      <c r="G8" s="4">
        <f aca="true" t="shared" si="0" ref="G8:G21">E8*F8</f>
        <v>0</v>
      </c>
      <c r="H8" s="4">
        <v>0</v>
      </c>
      <c r="I8" s="4">
        <v>0</v>
      </c>
    </row>
    <row r="9" spans="1:9" s="1" customFormat="1" ht="11.25" customHeight="1">
      <c r="A9" s="3" t="s">
        <v>37</v>
      </c>
      <c r="B9" s="32" t="s">
        <v>12</v>
      </c>
      <c r="C9" s="39" t="s">
        <v>13</v>
      </c>
      <c r="D9" s="3" t="s">
        <v>48</v>
      </c>
      <c r="E9" s="4">
        <v>768</v>
      </c>
      <c r="F9" s="150">
        <v>0</v>
      </c>
      <c r="G9" s="4">
        <f t="shared" si="0"/>
        <v>0</v>
      </c>
      <c r="H9" s="4">
        <v>0</v>
      </c>
      <c r="I9" s="4">
        <v>0</v>
      </c>
    </row>
    <row r="10" spans="1:9" s="1" customFormat="1" ht="11.25" customHeight="1">
      <c r="A10" s="3" t="s">
        <v>38</v>
      </c>
      <c r="B10" s="32" t="s">
        <v>8</v>
      </c>
      <c r="C10" s="39" t="s">
        <v>79</v>
      </c>
      <c r="D10" s="3" t="s">
        <v>48</v>
      </c>
      <c r="E10" s="4">
        <v>121.6</v>
      </c>
      <c r="F10" s="150">
        <v>0</v>
      </c>
      <c r="G10" s="4">
        <f t="shared" si="0"/>
        <v>0</v>
      </c>
      <c r="H10" s="4">
        <v>0</v>
      </c>
      <c r="I10" s="4">
        <v>0</v>
      </c>
    </row>
    <row r="11" spans="1:9" s="1" customFormat="1" ht="11.25" customHeight="1">
      <c r="A11" s="3" t="s">
        <v>39</v>
      </c>
      <c r="B11" s="32" t="s">
        <v>12</v>
      </c>
      <c r="C11" s="39" t="s">
        <v>13</v>
      </c>
      <c r="D11" s="3" t="s">
        <v>48</v>
      </c>
      <c r="E11" s="4">
        <v>121.6</v>
      </c>
      <c r="F11" s="150">
        <v>0</v>
      </c>
      <c r="G11" s="4">
        <f t="shared" si="0"/>
        <v>0</v>
      </c>
      <c r="H11" s="4">
        <v>0</v>
      </c>
      <c r="I11" s="4">
        <v>0</v>
      </c>
    </row>
    <row r="12" spans="1:9" s="1" customFormat="1" ht="11.25" customHeight="1">
      <c r="A12" s="3" t="s">
        <v>40</v>
      </c>
      <c r="B12" s="32" t="s">
        <v>80</v>
      </c>
      <c r="C12" s="39" t="s">
        <v>81</v>
      </c>
      <c r="D12" s="3" t="s">
        <v>26</v>
      </c>
      <c r="E12" s="4">
        <v>1119</v>
      </c>
      <c r="F12" s="150">
        <v>0</v>
      </c>
      <c r="G12" s="4">
        <f t="shared" si="0"/>
        <v>0</v>
      </c>
      <c r="H12" s="4">
        <v>0</v>
      </c>
      <c r="I12" s="4">
        <v>0</v>
      </c>
    </row>
    <row r="13" spans="1:9" s="1" customFormat="1" ht="11.25" customHeight="1">
      <c r="A13" s="3" t="s">
        <v>41</v>
      </c>
      <c r="B13" s="32" t="s">
        <v>82</v>
      </c>
      <c r="C13" s="39" t="s">
        <v>83</v>
      </c>
      <c r="D13" s="3" t="s">
        <v>26</v>
      </c>
      <c r="E13" s="4">
        <v>1119</v>
      </c>
      <c r="F13" s="150">
        <v>0</v>
      </c>
      <c r="G13" s="4">
        <f t="shared" si="0"/>
        <v>0</v>
      </c>
      <c r="H13" s="4">
        <v>0</v>
      </c>
      <c r="I13" s="4">
        <v>0</v>
      </c>
    </row>
    <row r="14" spans="1:9" s="1" customFormat="1" ht="11.25" customHeight="1">
      <c r="A14" s="3" t="s">
        <v>42</v>
      </c>
      <c r="B14" s="32" t="s">
        <v>84</v>
      </c>
      <c r="C14" s="39" t="s">
        <v>85</v>
      </c>
      <c r="D14" s="3" t="s">
        <v>26</v>
      </c>
      <c r="E14" s="4">
        <v>65</v>
      </c>
      <c r="F14" s="150">
        <v>0</v>
      </c>
      <c r="G14" s="4">
        <f t="shared" si="0"/>
        <v>0</v>
      </c>
      <c r="H14" s="4">
        <v>0</v>
      </c>
      <c r="I14" s="4">
        <v>0</v>
      </c>
    </row>
    <row r="15" spans="1:9" s="1" customFormat="1" ht="11.25" customHeight="1">
      <c r="A15" s="3" t="s">
        <v>43</v>
      </c>
      <c r="B15" s="32" t="s">
        <v>86</v>
      </c>
      <c r="C15" s="39" t="s">
        <v>87</v>
      </c>
      <c r="D15" s="3" t="s">
        <v>26</v>
      </c>
      <c r="E15" s="4">
        <v>65</v>
      </c>
      <c r="F15" s="150">
        <v>0</v>
      </c>
      <c r="G15" s="4">
        <f t="shared" si="0"/>
        <v>0</v>
      </c>
      <c r="H15" s="4">
        <v>0</v>
      </c>
      <c r="I15" s="4">
        <v>0</v>
      </c>
    </row>
    <row r="16" spans="1:9" s="1" customFormat="1" ht="11.25" customHeight="1">
      <c r="A16" s="3" t="s">
        <v>44</v>
      </c>
      <c r="B16" s="32" t="s">
        <v>45</v>
      </c>
      <c r="C16" s="39" t="s">
        <v>14</v>
      </c>
      <c r="D16" s="3" t="s">
        <v>48</v>
      </c>
      <c r="E16" s="4">
        <v>831</v>
      </c>
      <c r="F16" s="150">
        <v>0</v>
      </c>
      <c r="G16" s="4">
        <f t="shared" si="0"/>
        <v>0</v>
      </c>
      <c r="H16" s="4">
        <v>0</v>
      </c>
      <c r="I16" s="4">
        <v>0</v>
      </c>
    </row>
    <row r="17" spans="1:9" s="1" customFormat="1" ht="11.25" customHeight="1">
      <c r="A17" s="3" t="s">
        <v>46</v>
      </c>
      <c r="B17" s="32" t="s">
        <v>2</v>
      </c>
      <c r="C17" s="39" t="s">
        <v>59</v>
      </c>
      <c r="D17" s="3" t="s">
        <v>48</v>
      </c>
      <c r="E17" s="4">
        <v>831</v>
      </c>
      <c r="F17" s="150">
        <v>0</v>
      </c>
      <c r="G17" s="4">
        <f t="shared" si="0"/>
        <v>0</v>
      </c>
      <c r="H17" s="4">
        <v>0</v>
      </c>
      <c r="I17" s="4">
        <v>0</v>
      </c>
    </row>
    <row r="18" spans="1:9" s="1" customFormat="1" ht="11.25" customHeight="1">
      <c r="A18" s="3" t="s">
        <v>0</v>
      </c>
      <c r="B18" s="32" t="s">
        <v>15</v>
      </c>
      <c r="C18" s="39" t="s">
        <v>16</v>
      </c>
      <c r="D18" s="3" t="s">
        <v>48</v>
      </c>
      <c r="E18" s="4">
        <v>455</v>
      </c>
      <c r="F18" s="150">
        <v>0</v>
      </c>
      <c r="G18" s="4">
        <f t="shared" si="0"/>
        <v>0</v>
      </c>
      <c r="H18" s="4">
        <v>0</v>
      </c>
      <c r="I18" s="4">
        <v>0</v>
      </c>
    </row>
    <row r="19" spans="1:9" s="1" customFormat="1" ht="11.25" customHeight="1">
      <c r="A19" s="3" t="s">
        <v>49</v>
      </c>
      <c r="B19" s="32" t="s">
        <v>88</v>
      </c>
      <c r="C19" s="39" t="s">
        <v>187</v>
      </c>
      <c r="D19" s="3" t="s">
        <v>188</v>
      </c>
      <c r="E19" s="4">
        <v>124</v>
      </c>
      <c r="F19" s="150">
        <v>0</v>
      </c>
      <c r="G19" s="4">
        <f t="shared" si="0"/>
        <v>0</v>
      </c>
      <c r="H19" s="4">
        <v>0</v>
      </c>
      <c r="I19" s="4">
        <v>0</v>
      </c>
    </row>
    <row r="20" spans="1:9" s="1" customFormat="1" ht="11.25" customHeight="1">
      <c r="A20" s="3" t="s">
        <v>50</v>
      </c>
      <c r="B20" s="32" t="s">
        <v>89</v>
      </c>
      <c r="C20" s="39" t="s">
        <v>90</v>
      </c>
      <c r="D20" s="3" t="s">
        <v>48</v>
      </c>
      <c r="E20" s="4">
        <v>187</v>
      </c>
      <c r="F20" s="150">
        <v>0</v>
      </c>
      <c r="G20" s="4">
        <f t="shared" si="0"/>
        <v>0</v>
      </c>
      <c r="H20" s="4">
        <v>0</v>
      </c>
      <c r="I20" s="4">
        <v>0</v>
      </c>
    </row>
    <row r="21" spans="1:9" s="1" customFormat="1" ht="11.25" customHeight="1">
      <c r="A21" s="3" t="s">
        <v>51</v>
      </c>
      <c r="B21" s="32" t="s">
        <v>91</v>
      </c>
      <c r="C21" s="39" t="s">
        <v>189</v>
      </c>
      <c r="D21" s="3" t="s">
        <v>188</v>
      </c>
      <c r="E21" s="4">
        <v>365</v>
      </c>
      <c r="F21" s="150">
        <v>0</v>
      </c>
      <c r="G21" s="4">
        <f t="shared" si="0"/>
        <v>0</v>
      </c>
      <c r="H21" s="4">
        <v>0</v>
      </c>
      <c r="I21" s="4">
        <v>0</v>
      </c>
    </row>
    <row r="22" spans="2:9" s="1" customFormat="1" ht="11.25" customHeight="1">
      <c r="B22" s="33" t="s">
        <v>7</v>
      </c>
      <c r="C22" s="536" t="s">
        <v>36</v>
      </c>
      <c r="D22" s="536"/>
      <c r="E22" s="536"/>
      <c r="F22" s="5"/>
      <c r="G22" s="5">
        <f>SUM(G8:G21)</f>
        <v>0</v>
      </c>
      <c r="H22" s="5">
        <f>SUM(H8:H21)</f>
        <v>0</v>
      </c>
      <c r="I22" s="5">
        <f>SUM(I8:I21)</f>
        <v>0</v>
      </c>
    </row>
    <row r="23" spans="2:6" s="1" customFormat="1" ht="3.75" customHeight="1">
      <c r="B23" s="11"/>
      <c r="E23" s="151"/>
      <c r="F23" s="151"/>
    </row>
    <row r="24" spans="2:7" s="1" customFormat="1" ht="11.25" customHeight="1">
      <c r="B24" s="31" t="s">
        <v>17</v>
      </c>
      <c r="C24" s="538" t="s">
        <v>92</v>
      </c>
      <c r="D24" s="538"/>
      <c r="E24" s="538"/>
      <c r="F24" s="538"/>
      <c r="G24" s="538"/>
    </row>
    <row r="25" spans="1:9" s="1" customFormat="1" ht="11.25" customHeight="1">
      <c r="A25" s="3" t="s">
        <v>35</v>
      </c>
      <c r="B25" s="32" t="s">
        <v>93</v>
      </c>
      <c r="C25" s="39" t="s">
        <v>190</v>
      </c>
      <c r="D25" s="3" t="s">
        <v>54</v>
      </c>
      <c r="E25" s="4">
        <v>238</v>
      </c>
      <c r="F25" s="150">
        <v>0</v>
      </c>
      <c r="G25" s="4">
        <f>E25*F25</f>
        <v>0</v>
      </c>
      <c r="H25" s="4">
        <v>0</v>
      </c>
      <c r="I25" s="4">
        <v>0</v>
      </c>
    </row>
    <row r="26" spans="2:9" s="1" customFormat="1" ht="11.25" customHeight="1">
      <c r="B26" s="33" t="s">
        <v>17</v>
      </c>
      <c r="C26" s="536" t="s">
        <v>92</v>
      </c>
      <c r="D26" s="536"/>
      <c r="E26" s="536"/>
      <c r="F26" s="5"/>
      <c r="G26" s="5">
        <f>SUM(G25)</f>
        <v>0</v>
      </c>
      <c r="H26" s="5">
        <f>SUM(H25)</f>
        <v>0</v>
      </c>
      <c r="I26" s="5">
        <f>SUM(I25)</f>
        <v>0</v>
      </c>
    </row>
    <row r="27" spans="2:6" s="1" customFormat="1" ht="3.75" customHeight="1">
      <c r="B27" s="11"/>
      <c r="E27" s="151"/>
      <c r="F27" s="151"/>
    </row>
    <row r="28" spans="2:7" s="1" customFormat="1" ht="11.25" customHeight="1">
      <c r="B28" s="31" t="s">
        <v>18</v>
      </c>
      <c r="C28" s="538" t="s">
        <v>20</v>
      </c>
      <c r="D28" s="538"/>
      <c r="E28" s="538"/>
      <c r="F28" s="538"/>
      <c r="G28" s="538"/>
    </row>
    <row r="29" spans="1:9" s="1" customFormat="1" ht="11.25" customHeight="1">
      <c r="A29" s="3" t="s">
        <v>35</v>
      </c>
      <c r="B29" s="32" t="s">
        <v>94</v>
      </c>
      <c r="C29" s="39" t="s">
        <v>95</v>
      </c>
      <c r="D29" s="3" t="s">
        <v>48</v>
      </c>
      <c r="E29" s="4">
        <v>56</v>
      </c>
      <c r="F29" s="150">
        <v>0</v>
      </c>
      <c r="G29" s="4">
        <f>E29*F29</f>
        <v>0</v>
      </c>
      <c r="H29" s="4">
        <v>0</v>
      </c>
      <c r="I29" s="4">
        <v>0</v>
      </c>
    </row>
    <row r="30" spans="2:9" s="1" customFormat="1" ht="11.25" customHeight="1">
      <c r="B30" s="33" t="s">
        <v>18</v>
      </c>
      <c r="C30" s="536" t="s">
        <v>20</v>
      </c>
      <c r="D30" s="536"/>
      <c r="E30" s="536"/>
      <c r="F30" s="5"/>
      <c r="G30" s="5">
        <f>SUM(G29:G29)</f>
        <v>0</v>
      </c>
      <c r="H30" s="5">
        <f>SUM(H29:H29)</f>
        <v>0</v>
      </c>
      <c r="I30" s="5">
        <f>SUM(I29:I29)</f>
        <v>0</v>
      </c>
    </row>
    <row r="31" spans="2:6" s="1" customFormat="1" ht="3.75" customHeight="1">
      <c r="B31" s="11"/>
      <c r="E31" s="151"/>
      <c r="F31" s="151"/>
    </row>
    <row r="32" spans="2:7" s="7" customFormat="1" ht="11.25" customHeight="1">
      <c r="B32" s="187" t="s">
        <v>21</v>
      </c>
      <c r="C32" s="558" t="s">
        <v>191</v>
      </c>
      <c r="D32" s="558"/>
      <c r="E32" s="558"/>
      <c r="F32" s="558"/>
      <c r="G32" s="558"/>
    </row>
    <row r="33" spans="1:9" s="1" customFormat="1" ht="11.25" customHeight="1">
      <c r="A33" s="3" t="s">
        <v>35</v>
      </c>
      <c r="B33" s="32" t="s">
        <v>96</v>
      </c>
      <c r="C33" s="377" t="s">
        <v>207</v>
      </c>
      <c r="D33" s="378" t="s">
        <v>54</v>
      </c>
      <c r="E33" s="379">
        <f>187</f>
        <v>187</v>
      </c>
      <c r="F33" s="150">
        <v>0</v>
      </c>
      <c r="G33" s="4">
        <f aca="true" t="shared" si="1" ref="G33:G64">E33*F33</f>
        <v>0</v>
      </c>
      <c r="H33" s="4">
        <v>0</v>
      </c>
      <c r="I33" s="4">
        <v>0</v>
      </c>
    </row>
    <row r="34" spans="1:9" s="1" customFormat="1" ht="11.25" customHeight="1">
      <c r="A34" s="3" t="s">
        <v>37</v>
      </c>
      <c r="B34" s="32" t="s">
        <v>97</v>
      </c>
      <c r="C34" s="377" t="s">
        <v>192</v>
      </c>
      <c r="D34" s="378" t="s">
        <v>25</v>
      </c>
      <c r="E34" s="379">
        <f>32</f>
        <v>32</v>
      </c>
      <c r="F34" s="150">
        <v>0</v>
      </c>
      <c r="G34" s="4">
        <f t="shared" si="1"/>
        <v>0</v>
      </c>
      <c r="H34" s="4">
        <v>0</v>
      </c>
      <c r="I34" s="4">
        <v>0</v>
      </c>
    </row>
    <row r="35" spans="1:9" s="1" customFormat="1" ht="11.25" customHeight="1">
      <c r="A35" s="3" t="s">
        <v>38</v>
      </c>
      <c r="B35" s="32" t="s">
        <v>426</v>
      </c>
      <c r="C35" s="377" t="s">
        <v>208</v>
      </c>
      <c r="D35" s="378" t="s">
        <v>54</v>
      </c>
      <c r="E35" s="379">
        <v>283</v>
      </c>
      <c r="F35" s="150">
        <v>0</v>
      </c>
      <c r="G35" s="4">
        <f t="shared" si="1"/>
        <v>0</v>
      </c>
      <c r="H35" s="4">
        <v>0</v>
      </c>
      <c r="I35" s="4">
        <v>0</v>
      </c>
    </row>
    <row r="36" spans="1:9" s="1" customFormat="1" ht="11.25" customHeight="1">
      <c r="A36" s="3" t="s">
        <v>39</v>
      </c>
      <c r="B36" s="32" t="s">
        <v>99</v>
      </c>
      <c r="C36" s="377" t="s">
        <v>193</v>
      </c>
      <c r="D36" s="378" t="s">
        <v>25</v>
      </c>
      <c r="E36" s="379">
        <v>48</v>
      </c>
      <c r="F36" s="150">
        <v>0</v>
      </c>
      <c r="G36" s="4">
        <f t="shared" si="1"/>
        <v>0</v>
      </c>
      <c r="H36" s="4">
        <v>0</v>
      </c>
      <c r="I36" s="4">
        <v>0</v>
      </c>
    </row>
    <row r="37" spans="1:9" s="1" customFormat="1" ht="11.25" customHeight="1">
      <c r="A37" s="3" t="s">
        <v>40</v>
      </c>
      <c r="B37" s="32" t="s">
        <v>427</v>
      </c>
      <c r="C37" s="377" t="s">
        <v>212</v>
      </c>
      <c r="D37" s="378" t="s">
        <v>54</v>
      </c>
      <c r="E37" s="379">
        <v>109</v>
      </c>
      <c r="F37" s="150">
        <v>0</v>
      </c>
      <c r="G37" s="4">
        <f t="shared" si="1"/>
        <v>0</v>
      </c>
      <c r="H37" s="4">
        <v>0</v>
      </c>
      <c r="I37" s="4">
        <v>0</v>
      </c>
    </row>
    <row r="38" spans="1:9" s="1" customFormat="1" ht="11.25" customHeight="1">
      <c r="A38" s="3" t="s">
        <v>41</v>
      </c>
      <c r="B38" s="32" t="s">
        <v>99</v>
      </c>
      <c r="C38" s="377" t="s">
        <v>429</v>
      </c>
      <c r="D38" s="378" t="s">
        <v>25</v>
      </c>
      <c r="E38" s="379">
        <v>19</v>
      </c>
      <c r="F38" s="150">
        <v>0</v>
      </c>
      <c r="G38" s="4">
        <f t="shared" si="1"/>
        <v>0</v>
      </c>
      <c r="H38" s="4">
        <v>0</v>
      </c>
      <c r="I38" s="4">
        <v>0</v>
      </c>
    </row>
    <row r="39" spans="1:9" s="1" customFormat="1" ht="11.25" customHeight="1">
      <c r="A39" s="3" t="s">
        <v>42</v>
      </c>
      <c r="B39" s="32" t="s">
        <v>428</v>
      </c>
      <c r="C39" s="377" t="s">
        <v>209</v>
      </c>
      <c r="D39" s="378" t="s">
        <v>54</v>
      </c>
      <c r="E39" s="379">
        <v>61</v>
      </c>
      <c r="F39" s="150">
        <v>0</v>
      </c>
      <c r="G39" s="4">
        <f t="shared" si="1"/>
        <v>0</v>
      </c>
      <c r="H39" s="4">
        <v>0</v>
      </c>
      <c r="I39" s="4">
        <v>0</v>
      </c>
    </row>
    <row r="40" spans="1:9" s="1" customFormat="1" ht="11.25" customHeight="1">
      <c r="A40" s="3" t="s">
        <v>43</v>
      </c>
      <c r="B40" s="32" t="s">
        <v>101</v>
      </c>
      <c r="C40" s="377" t="s">
        <v>194</v>
      </c>
      <c r="D40" s="378" t="s">
        <v>25</v>
      </c>
      <c r="E40" s="379">
        <v>11</v>
      </c>
      <c r="F40" s="150">
        <v>0</v>
      </c>
      <c r="G40" s="4">
        <f t="shared" si="1"/>
        <v>0</v>
      </c>
      <c r="H40" s="4">
        <v>0</v>
      </c>
      <c r="I40" s="4">
        <v>0</v>
      </c>
    </row>
    <row r="41" spans="1:9" s="1" customFormat="1" ht="11.25" customHeight="1">
      <c r="A41" s="3" t="s">
        <v>44</v>
      </c>
      <c r="B41" s="32" t="s">
        <v>102</v>
      </c>
      <c r="C41" s="377" t="s">
        <v>195</v>
      </c>
      <c r="D41" s="378" t="s">
        <v>25</v>
      </c>
      <c r="E41" s="379">
        <v>10</v>
      </c>
      <c r="F41" s="150">
        <v>0</v>
      </c>
      <c r="G41" s="4">
        <f t="shared" si="1"/>
        <v>0</v>
      </c>
      <c r="H41" s="4">
        <v>0</v>
      </c>
      <c r="I41" s="4">
        <v>0</v>
      </c>
    </row>
    <row r="42" spans="1:9" s="1" customFormat="1" ht="11.25" customHeight="1">
      <c r="A42" s="3" t="s">
        <v>46</v>
      </c>
      <c r="B42" s="32" t="s">
        <v>103</v>
      </c>
      <c r="C42" s="377" t="s">
        <v>196</v>
      </c>
      <c r="D42" s="378" t="s">
        <v>25</v>
      </c>
      <c r="E42" s="379">
        <v>4</v>
      </c>
      <c r="F42" s="150">
        <v>0</v>
      </c>
      <c r="G42" s="4">
        <f t="shared" si="1"/>
        <v>0</v>
      </c>
      <c r="H42" s="4">
        <v>0</v>
      </c>
      <c r="I42" s="4">
        <v>0</v>
      </c>
    </row>
    <row r="43" spans="1:9" s="1" customFormat="1" ht="11.25" customHeight="1">
      <c r="A43" s="3" t="s">
        <v>0</v>
      </c>
      <c r="B43" s="32" t="s">
        <v>104</v>
      </c>
      <c r="C43" s="377" t="s">
        <v>197</v>
      </c>
      <c r="D43" s="378" t="s">
        <v>25</v>
      </c>
      <c r="E43" s="379">
        <f>7</f>
        <v>7</v>
      </c>
      <c r="F43" s="150">
        <v>0</v>
      </c>
      <c r="G43" s="4">
        <f t="shared" si="1"/>
        <v>0</v>
      </c>
      <c r="H43" s="4">
        <v>0</v>
      </c>
      <c r="I43" s="4">
        <v>0</v>
      </c>
    </row>
    <row r="44" spans="1:9" s="1" customFormat="1" ht="11.25" customHeight="1">
      <c r="A44" s="3" t="s">
        <v>49</v>
      </c>
      <c r="B44" s="32" t="s">
        <v>105</v>
      </c>
      <c r="C44" s="377" t="s">
        <v>198</v>
      </c>
      <c r="D44" s="378" t="s">
        <v>25</v>
      </c>
      <c r="E44" s="379">
        <v>19</v>
      </c>
      <c r="F44" s="150">
        <v>0</v>
      </c>
      <c r="G44" s="4">
        <f t="shared" si="1"/>
        <v>0</v>
      </c>
      <c r="H44" s="4">
        <v>0</v>
      </c>
      <c r="I44" s="4">
        <v>0</v>
      </c>
    </row>
    <row r="45" spans="1:9" s="1" customFormat="1" ht="11.25" customHeight="1">
      <c r="A45" s="3" t="s">
        <v>50</v>
      </c>
      <c r="B45" s="32" t="s">
        <v>106</v>
      </c>
      <c r="C45" s="377" t="s">
        <v>107</v>
      </c>
      <c r="D45" s="378" t="s">
        <v>25</v>
      </c>
      <c r="E45" s="379">
        <f>28</f>
        <v>28</v>
      </c>
      <c r="F45" s="150">
        <v>0</v>
      </c>
      <c r="G45" s="4">
        <f t="shared" si="1"/>
        <v>0</v>
      </c>
      <c r="H45" s="4">
        <v>0</v>
      </c>
      <c r="I45" s="4">
        <v>0</v>
      </c>
    </row>
    <row r="46" spans="1:9" s="1" customFormat="1" ht="11.25" customHeight="1">
      <c r="A46" s="3" t="s">
        <v>51</v>
      </c>
      <c r="B46" s="32" t="s">
        <v>108</v>
      </c>
      <c r="C46" s="377" t="s">
        <v>210</v>
      </c>
      <c r="D46" s="378" t="s">
        <v>25</v>
      </c>
      <c r="E46" s="379">
        <f>28</f>
        <v>28</v>
      </c>
      <c r="F46" s="150">
        <v>0</v>
      </c>
      <c r="G46" s="4">
        <f t="shared" si="1"/>
        <v>0</v>
      </c>
      <c r="H46" s="4">
        <v>0</v>
      </c>
      <c r="I46" s="4">
        <v>0</v>
      </c>
    </row>
    <row r="47" spans="1:9" s="1" customFormat="1" ht="11.25" customHeight="1">
      <c r="A47" s="3" t="s">
        <v>1</v>
      </c>
      <c r="B47" s="32" t="s">
        <v>109</v>
      </c>
      <c r="C47" s="377" t="s">
        <v>110</v>
      </c>
      <c r="D47" s="378" t="s">
        <v>25</v>
      </c>
      <c r="E47" s="379">
        <v>56</v>
      </c>
      <c r="F47" s="150">
        <v>0</v>
      </c>
      <c r="G47" s="4">
        <f t="shared" si="1"/>
        <v>0</v>
      </c>
      <c r="H47" s="4">
        <v>0</v>
      </c>
      <c r="I47" s="4">
        <v>0</v>
      </c>
    </row>
    <row r="48" spans="1:9" s="1" customFormat="1" ht="11.25" customHeight="1">
      <c r="A48" s="3" t="s">
        <v>3</v>
      </c>
      <c r="B48" s="32" t="s">
        <v>111</v>
      </c>
      <c r="C48" s="377" t="s">
        <v>211</v>
      </c>
      <c r="D48" s="378" t="s">
        <v>25</v>
      </c>
      <c r="E48" s="379">
        <f>28</f>
        <v>28</v>
      </c>
      <c r="F48" s="150">
        <v>0</v>
      </c>
      <c r="G48" s="4">
        <f t="shared" si="1"/>
        <v>0</v>
      </c>
      <c r="H48" s="4">
        <v>0</v>
      </c>
      <c r="I48" s="4">
        <v>0</v>
      </c>
    </row>
    <row r="49" spans="1:9" s="1" customFormat="1" ht="11.25" customHeight="1">
      <c r="A49" s="3" t="s">
        <v>116</v>
      </c>
      <c r="B49" s="32" t="s">
        <v>112</v>
      </c>
      <c r="C49" s="377" t="s">
        <v>113</v>
      </c>
      <c r="D49" s="378" t="s">
        <v>25</v>
      </c>
      <c r="E49" s="379">
        <f>28</f>
        <v>28</v>
      </c>
      <c r="F49" s="150">
        <v>0</v>
      </c>
      <c r="G49" s="4">
        <f t="shared" si="1"/>
        <v>0</v>
      </c>
      <c r="H49" s="4">
        <v>0</v>
      </c>
      <c r="I49" s="4">
        <v>0</v>
      </c>
    </row>
    <row r="50" spans="1:9" s="1" customFormat="1" ht="11.25" customHeight="1">
      <c r="A50" s="3" t="s">
        <v>118</v>
      </c>
      <c r="B50" s="32" t="s">
        <v>114</v>
      </c>
      <c r="C50" s="377" t="s">
        <v>115</v>
      </c>
      <c r="D50" s="378" t="s">
        <v>25</v>
      </c>
      <c r="E50" s="379">
        <f>26</f>
        <v>26</v>
      </c>
      <c r="F50" s="150">
        <v>0</v>
      </c>
      <c r="G50" s="4">
        <f t="shared" si="1"/>
        <v>0</v>
      </c>
      <c r="H50" s="4">
        <v>0</v>
      </c>
      <c r="I50" s="4">
        <v>0</v>
      </c>
    </row>
    <row r="51" spans="1:9" s="1" customFormat="1" ht="11.25" customHeight="1">
      <c r="A51" s="3" t="s">
        <v>121</v>
      </c>
      <c r="B51" s="32" t="s">
        <v>117</v>
      </c>
      <c r="C51" s="377" t="s">
        <v>199</v>
      </c>
      <c r="D51" s="378" t="s">
        <v>25</v>
      </c>
      <c r="E51" s="379">
        <f>26</f>
        <v>26</v>
      </c>
      <c r="F51" s="150">
        <v>0</v>
      </c>
      <c r="G51" s="4">
        <f t="shared" si="1"/>
        <v>0</v>
      </c>
      <c r="H51" s="4">
        <v>0</v>
      </c>
      <c r="I51" s="4">
        <v>0</v>
      </c>
    </row>
    <row r="52" spans="1:9" s="1" customFormat="1" ht="11.25" customHeight="1">
      <c r="A52" s="3" t="s">
        <v>123</v>
      </c>
      <c r="B52" s="32" t="s">
        <v>431</v>
      </c>
      <c r="C52" s="377" t="s">
        <v>432</v>
      </c>
      <c r="D52" s="378" t="s">
        <v>25</v>
      </c>
      <c r="E52" s="379">
        <v>2</v>
      </c>
      <c r="F52" s="150">
        <v>0</v>
      </c>
      <c r="G52" s="379">
        <f t="shared" si="1"/>
        <v>0</v>
      </c>
      <c r="H52" s="4">
        <v>0</v>
      </c>
      <c r="I52" s="4">
        <v>0</v>
      </c>
    </row>
    <row r="53" spans="1:9" s="1" customFormat="1" ht="11.25" customHeight="1">
      <c r="A53" s="3" t="s">
        <v>125</v>
      </c>
      <c r="B53" s="32" t="s">
        <v>119</v>
      </c>
      <c r="C53" s="39" t="s">
        <v>120</v>
      </c>
      <c r="D53" s="3" t="s">
        <v>25</v>
      </c>
      <c r="E53" s="4">
        <v>56</v>
      </c>
      <c r="F53" s="150">
        <v>0</v>
      </c>
      <c r="G53" s="4">
        <f t="shared" si="1"/>
        <v>0</v>
      </c>
      <c r="H53" s="4">
        <v>0</v>
      </c>
      <c r="I53" s="4">
        <v>0</v>
      </c>
    </row>
    <row r="54" spans="1:9" s="1" customFormat="1" ht="11.25" customHeight="1">
      <c r="A54" s="3" t="s">
        <v>127</v>
      </c>
      <c r="B54" s="32" t="s">
        <v>122</v>
      </c>
      <c r="C54" s="39" t="s">
        <v>200</v>
      </c>
      <c r="D54" s="3" t="s">
        <v>25</v>
      </c>
      <c r="E54" s="4">
        <v>10</v>
      </c>
      <c r="F54" s="150">
        <v>0</v>
      </c>
      <c r="G54" s="4">
        <f t="shared" si="1"/>
        <v>0</v>
      </c>
      <c r="H54" s="4">
        <v>0</v>
      </c>
      <c r="I54" s="4">
        <v>0</v>
      </c>
    </row>
    <row r="55" spans="1:9" s="1" customFormat="1" ht="11.25" customHeight="1">
      <c r="A55" s="3" t="s">
        <v>129</v>
      </c>
      <c r="B55" s="32" t="s">
        <v>124</v>
      </c>
      <c r="C55" s="39" t="s">
        <v>201</v>
      </c>
      <c r="D55" s="3" t="s">
        <v>25</v>
      </c>
      <c r="E55" s="4">
        <v>12</v>
      </c>
      <c r="F55" s="150">
        <v>0</v>
      </c>
      <c r="G55" s="4">
        <f t="shared" si="1"/>
        <v>0</v>
      </c>
      <c r="H55" s="4">
        <v>0</v>
      </c>
      <c r="I55" s="4">
        <v>0</v>
      </c>
    </row>
    <row r="56" spans="1:9" s="1" customFormat="1" ht="11.25" customHeight="1">
      <c r="A56" s="3" t="s">
        <v>131</v>
      </c>
      <c r="B56" s="32" t="s">
        <v>126</v>
      </c>
      <c r="C56" s="39" t="s">
        <v>202</v>
      </c>
      <c r="D56" s="3" t="s">
        <v>25</v>
      </c>
      <c r="E56" s="4">
        <v>10</v>
      </c>
      <c r="F56" s="150">
        <v>0</v>
      </c>
      <c r="G56" s="4">
        <f t="shared" si="1"/>
        <v>0</v>
      </c>
      <c r="H56" s="4">
        <v>0</v>
      </c>
      <c r="I56" s="4">
        <v>0</v>
      </c>
    </row>
    <row r="57" spans="1:9" s="1" customFormat="1" ht="11.25" customHeight="1">
      <c r="A57" s="3" t="s">
        <v>134</v>
      </c>
      <c r="B57" s="32" t="s">
        <v>128</v>
      </c>
      <c r="C57" s="39" t="s">
        <v>203</v>
      </c>
      <c r="D57" s="3" t="s">
        <v>25</v>
      </c>
      <c r="E57" s="4">
        <v>12</v>
      </c>
      <c r="F57" s="150">
        <v>0</v>
      </c>
      <c r="G57" s="4">
        <f t="shared" si="1"/>
        <v>0</v>
      </c>
      <c r="H57" s="4">
        <v>0</v>
      </c>
      <c r="I57" s="4">
        <v>0</v>
      </c>
    </row>
    <row r="58" spans="1:9" s="1" customFormat="1" ht="11.25" customHeight="1">
      <c r="A58" s="3" t="s">
        <v>136</v>
      </c>
      <c r="B58" s="32" t="s">
        <v>130</v>
      </c>
      <c r="C58" s="39" t="s">
        <v>204</v>
      </c>
      <c r="D58" s="3" t="s">
        <v>25</v>
      </c>
      <c r="E58" s="4">
        <v>9</v>
      </c>
      <c r="F58" s="150">
        <v>0</v>
      </c>
      <c r="G58" s="4">
        <f t="shared" si="1"/>
        <v>0</v>
      </c>
      <c r="H58" s="4">
        <v>0</v>
      </c>
      <c r="I58" s="4">
        <v>0</v>
      </c>
    </row>
    <row r="59" spans="1:9" s="1" customFormat="1" ht="11.25" customHeight="1">
      <c r="A59" s="3" t="s">
        <v>139</v>
      </c>
      <c r="B59" s="32" t="s">
        <v>132</v>
      </c>
      <c r="C59" s="377" t="s">
        <v>133</v>
      </c>
      <c r="D59" s="378" t="s">
        <v>25</v>
      </c>
      <c r="E59" s="379">
        <f>28</f>
        <v>28</v>
      </c>
      <c r="F59" s="150">
        <v>0</v>
      </c>
      <c r="G59" s="4">
        <f t="shared" si="1"/>
        <v>0</v>
      </c>
      <c r="H59" s="4">
        <v>0</v>
      </c>
      <c r="I59" s="4">
        <v>0</v>
      </c>
    </row>
    <row r="60" spans="1:9" s="1" customFormat="1" ht="11.25" customHeight="1">
      <c r="A60" s="3" t="s">
        <v>141</v>
      </c>
      <c r="B60" s="32" t="s">
        <v>135</v>
      </c>
      <c r="C60" s="377" t="s">
        <v>205</v>
      </c>
      <c r="D60" s="378" t="s">
        <v>25</v>
      </c>
      <c r="E60" s="379">
        <f>28</f>
        <v>28</v>
      </c>
      <c r="F60" s="150">
        <v>0</v>
      </c>
      <c r="G60" s="4">
        <f t="shared" si="1"/>
        <v>0</v>
      </c>
      <c r="H60" s="4">
        <v>0</v>
      </c>
      <c r="I60" s="4">
        <v>0</v>
      </c>
    </row>
    <row r="61" spans="1:9" s="1" customFormat="1" ht="11.25" customHeight="1">
      <c r="A61" s="3" t="s">
        <v>424</v>
      </c>
      <c r="B61" s="32" t="s">
        <v>137</v>
      </c>
      <c r="C61" s="39" t="s">
        <v>138</v>
      </c>
      <c r="D61" s="3" t="s">
        <v>178</v>
      </c>
      <c r="E61" s="4">
        <v>15</v>
      </c>
      <c r="F61" s="150">
        <v>0</v>
      </c>
      <c r="G61" s="4">
        <f t="shared" si="1"/>
        <v>0</v>
      </c>
      <c r="H61" s="4">
        <v>0</v>
      </c>
      <c r="I61" s="4">
        <v>0</v>
      </c>
    </row>
    <row r="62" spans="1:9" s="1" customFormat="1" ht="11.25" customHeight="1">
      <c r="A62" s="3" t="s">
        <v>425</v>
      </c>
      <c r="B62" s="32" t="s">
        <v>140</v>
      </c>
      <c r="C62" s="39" t="s">
        <v>206</v>
      </c>
      <c r="D62" s="3" t="s">
        <v>25</v>
      </c>
      <c r="E62" s="4">
        <v>13</v>
      </c>
      <c r="F62" s="150">
        <v>0</v>
      </c>
      <c r="G62" s="4">
        <f t="shared" si="1"/>
        <v>0</v>
      </c>
      <c r="H62" s="4">
        <v>0</v>
      </c>
      <c r="I62" s="4">
        <v>0</v>
      </c>
    </row>
    <row r="63" spans="1:9" s="1" customFormat="1" ht="11.25" customHeight="1">
      <c r="A63" s="3" t="s">
        <v>430</v>
      </c>
      <c r="B63" s="32" t="s">
        <v>142</v>
      </c>
      <c r="C63" s="39" t="s">
        <v>445</v>
      </c>
      <c r="D63" s="3" t="s">
        <v>54</v>
      </c>
      <c r="E63" s="4">
        <f>SUM(E33+E35+E37+E39)</f>
        <v>640</v>
      </c>
      <c r="F63" s="150">
        <v>0</v>
      </c>
      <c r="G63" s="4">
        <f t="shared" si="1"/>
        <v>0</v>
      </c>
      <c r="H63" s="4">
        <v>0</v>
      </c>
      <c r="I63" s="4">
        <v>0</v>
      </c>
    </row>
    <row r="64" spans="1:9" s="1" customFormat="1" ht="11.25" customHeight="1">
      <c r="A64" s="3" t="s">
        <v>447</v>
      </c>
      <c r="B64" s="32" t="s">
        <v>446</v>
      </c>
      <c r="C64" s="39" t="s">
        <v>448</v>
      </c>
      <c r="D64" s="3" t="s">
        <v>25</v>
      </c>
      <c r="E64" s="4">
        <v>1</v>
      </c>
      <c r="F64" s="150">
        <v>0</v>
      </c>
      <c r="G64" s="4">
        <f t="shared" si="1"/>
        <v>0</v>
      </c>
      <c r="H64" s="4">
        <v>0</v>
      </c>
      <c r="I64" s="4">
        <v>0</v>
      </c>
    </row>
    <row r="65" spans="2:9" s="1" customFormat="1" ht="11.25" customHeight="1">
      <c r="B65" s="33" t="s">
        <v>21</v>
      </c>
      <c r="C65" s="536" t="s">
        <v>191</v>
      </c>
      <c r="D65" s="536"/>
      <c r="E65" s="536"/>
      <c r="F65" s="5"/>
      <c r="G65" s="5">
        <f>SUM(G33:G64)</f>
        <v>0</v>
      </c>
      <c r="H65" s="5">
        <f>SUM(H33:H64)</f>
        <v>0</v>
      </c>
      <c r="I65" s="5">
        <f>SUM(I33:I64)</f>
        <v>0</v>
      </c>
    </row>
    <row r="66" spans="2:6" s="1" customFormat="1" ht="3.75" customHeight="1">
      <c r="B66" s="11"/>
      <c r="E66" s="151"/>
      <c r="F66" s="151"/>
    </row>
    <row r="67" spans="2:7" s="1" customFormat="1" ht="11.25" customHeight="1">
      <c r="B67" s="31" t="s">
        <v>22</v>
      </c>
      <c r="C67" s="538" t="s">
        <v>143</v>
      </c>
      <c r="D67" s="538"/>
      <c r="E67" s="538"/>
      <c r="F67" s="538"/>
      <c r="G67" s="538"/>
    </row>
    <row r="68" spans="1:9" s="1" customFormat="1" ht="11.25" customHeight="1">
      <c r="A68" s="3" t="s">
        <v>35</v>
      </c>
      <c r="B68" s="32" t="s">
        <v>144</v>
      </c>
      <c r="C68" s="39" t="s">
        <v>145</v>
      </c>
      <c r="D68" s="3" t="s">
        <v>54</v>
      </c>
      <c r="E68" s="4">
        <v>373</v>
      </c>
      <c r="F68" s="150">
        <v>0</v>
      </c>
      <c r="G68" s="4">
        <f>E68*F68</f>
        <v>0</v>
      </c>
      <c r="H68" s="4">
        <v>0</v>
      </c>
      <c r="I68" s="4">
        <v>0</v>
      </c>
    </row>
    <row r="69" spans="2:9" s="1" customFormat="1" ht="11.25" customHeight="1">
      <c r="B69" s="33" t="s">
        <v>22</v>
      </c>
      <c r="C69" s="536" t="s">
        <v>143</v>
      </c>
      <c r="D69" s="536"/>
      <c r="E69" s="536"/>
      <c r="F69" s="5"/>
      <c r="G69" s="5">
        <f>SUM(G68:G68)</f>
        <v>0</v>
      </c>
      <c r="H69" s="5">
        <f>SUM(H68:H68)</f>
        <v>0</v>
      </c>
      <c r="I69" s="5">
        <f>SUM(I68:I68)</f>
        <v>0</v>
      </c>
    </row>
    <row r="70" spans="2:9" s="1" customFormat="1" ht="11.25" customHeight="1">
      <c r="B70" s="30" t="s">
        <v>146</v>
      </c>
      <c r="C70" s="2" t="s">
        <v>4</v>
      </c>
      <c r="D70" s="561"/>
      <c r="E70" s="561"/>
      <c r="F70" s="6"/>
      <c r="G70" s="6">
        <f>SUM(G69+G65+G30+G26+G22)</f>
        <v>0</v>
      </c>
      <c r="H70" s="6">
        <f>SUM(H69+H65+H30+H26+H22)</f>
        <v>0</v>
      </c>
      <c r="I70" s="6">
        <f>SUM(I69+I65+I30+I26+I22)</f>
        <v>0</v>
      </c>
    </row>
    <row r="71" spans="2:6" s="1" customFormat="1" ht="3.75" customHeight="1">
      <c r="B71" s="11"/>
      <c r="E71" s="151"/>
      <c r="F71" s="151"/>
    </row>
    <row r="72" spans="1:9" s="1" customFormat="1" ht="11.25" customHeight="1">
      <c r="A72" s="26"/>
      <c r="B72" s="41" t="s">
        <v>53</v>
      </c>
      <c r="C72" s="353" t="s">
        <v>4</v>
      </c>
      <c r="D72" s="562"/>
      <c r="E72" s="562"/>
      <c r="F72" s="28"/>
      <c r="G72" s="354">
        <f>SUM(G70)</f>
        <v>0</v>
      </c>
      <c r="H72" s="354">
        <f>SUM(H70)</f>
        <v>0</v>
      </c>
      <c r="I72" s="354">
        <f>SUM(I70)</f>
        <v>0</v>
      </c>
    </row>
    <row r="73" spans="1:9" s="1" customFormat="1" ht="3.75" customHeight="1">
      <c r="A73" s="26"/>
      <c r="B73" s="42"/>
      <c r="C73" s="26"/>
      <c r="D73" s="26"/>
      <c r="E73" s="154"/>
      <c r="F73" s="154"/>
      <c r="G73" s="26"/>
      <c r="H73" s="26"/>
      <c r="I73" s="26"/>
    </row>
    <row r="74" spans="1:9" ht="15">
      <c r="A74" s="26"/>
      <c r="B74" s="42"/>
      <c r="C74" s="29"/>
      <c r="D74" s="29"/>
      <c r="E74" s="153"/>
      <c r="F74" s="153"/>
      <c r="G74" s="29"/>
      <c r="H74" s="29"/>
      <c r="I74" s="29"/>
    </row>
  </sheetData>
  <sheetProtection/>
  <mergeCells count="24">
    <mergeCell ref="A2:B2"/>
    <mergeCell ref="C7:G7"/>
    <mergeCell ref="A3:A4"/>
    <mergeCell ref="C3:C4"/>
    <mergeCell ref="D3:D4"/>
    <mergeCell ref="E3:E4"/>
    <mergeCell ref="G3:G4"/>
    <mergeCell ref="C32:G32"/>
    <mergeCell ref="C26:E26"/>
    <mergeCell ref="C28:G28"/>
    <mergeCell ref="C22:E22"/>
    <mergeCell ref="C24:G24"/>
    <mergeCell ref="F1:G1"/>
    <mergeCell ref="F2:G2"/>
    <mergeCell ref="H3:H4"/>
    <mergeCell ref="I3:I4"/>
    <mergeCell ref="H1:I1"/>
    <mergeCell ref="H2:I2"/>
    <mergeCell ref="D72:E72"/>
    <mergeCell ref="C69:E69"/>
    <mergeCell ref="D70:E70"/>
    <mergeCell ref="C65:E65"/>
    <mergeCell ref="C67:G67"/>
    <mergeCell ref="C30:E30"/>
  </mergeCells>
  <printOptions horizontalCentered="1"/>
  <pageMargins left="0.5905511811023623" right="0.3937007874015748" top="0.7874015748031497" bottom="0.7874015748031497" header="0.5118110236220472" footer="0.5118110236220472"/>
  <pageSetup fitToHeight="3" fitToWidth="1" horizontalDpi="600" verticalDpi="600" orientation="landscape" paperSize="9" scale="96" r:id="rId1"/>
  <rowBreaks count="1" manualBreakCount="1">
    <brk id="73" max="6" man="1"/>
  </rowBreaks>
  <ignoredErrors>
    <ignoredError sqref="A72:A74 B65:B71 A8:A38 B6:B38 A65:A71 A39:B63 A64:B6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I105"/>
  <sheetViews>
    <sheetView showGridLines="0" view="pageBreakPreview" zoomScaleSheetLayoutView="100" zoomScalePageLayoutView="0" workbookViewId="0" topLeftCell="A1">
      <selection activeCell="A1" sqref="A1"/>
    </sheetView>
  </sheetViews>
  <sheetFormatPr defaultColWidth="9.00390625" defaultRowHeight="12.75"/>
  <cols>
    <col min="1" max="1" width="4.375" style="1" customWidth="1"/>
    <col min="2" max="2" width="18.25390625" style="11" customWidth="1"/>
    <col min="3" max="3" width="34.75390625" style="0" customWidth="1"/>
    <col min="4" max="4" width="4.75390625" style="0" customWidth="1"/>
    <col min="5" max="5" width="12.00390625" style="40" customWidth="1"/>
    <col min="6" max="6" width="7.875" style="40" customWidth="1"/>
    <col min="7" max="9" width="16.00390625" style="0" customWidth="1"/>
  </cols>
  <sheetData>
    <row r="1" spans="1:9" s="1" customFormat="1" ht="29.25" customHeight="1">
      <c r="A1" s="393" t="s">
        <v>28</v>
      </c>
      <c r="B1" s="393"/>
      <c r="C1" s="397"/>
      <c r="D1" s="48"/>
      <c r="E1" s="139"/>
      <c r="F1" s="403"/>
      <c r="G1" s="394"/>
      <c r="H1" s="492"/>
      <c r="I1" s="492"/>
    </row>
    <row r="2" spans="1:9" s="1" customFormat="1" ht="18" customHeight="1">
      <c r="A2" s="526" t="s">
        <v>220</v>
      </c>
      <c r="B2" s="526"/>
      <c r="C2" s="402" t="s">
        <v>219</v>
      </c>
      <c r="D2" s="399"/>
      <c r="E2" s="398"/>
      <c r="F2" s="403"/>
      <c r="G2" s="394"/>
      <c r="H2" s="492"/>
      <c r="I2" s="492"/>
    </row>
    <row r="3" spans="1:9" s="1" customFormat="1" ht="11.25" customHeight="1">
      <c r="A3" s="527" t="s">
        <v>29</v>
      </c>
      <c r="B3" s="50" t="s">
        <v>30</v>
      </c>
      <c r="C3" s="529" t="s">
        <v>31</v>
      </c>
      <c r="D3" s="531" t="s">
        <v>184</v>
      </c>
      <c r="E3" s="533" t="s">
        <v>185</v>
      </c>
      <c r="F3" s="149" t="s">
        <v>32</v>
      </c>
      <c r="G3" s="529" t="s">
        <v>1728</v>
      </c>
      <c r="H3" s="539" t="s">
        <v>1729</v>
      </c>
      <c r="I3" s="541" t="s">
        <v>1730</v>
      </c>
    </row>
    <row r="4" spans="1:9" s="1" customFormat="1" ht="11.25" customHeight="1">
      <c r="A4" s="528"/>
      <c r="B4" s="49" t="s">
        <v>33</v>
      </c>
      <c r="C4" s="530"/>
      <c r="D4" s="532"/>
      <c r="E4" s="534"/>
      <c r="F4" s="148" t="s">
        <v>34</v>
      </c>
      <c r="G4" s="530"/>
      <c r="H4" s="540"/>
      <c r="I4" s="542"/>
    </row>
    <row r="5" spans="1:9" s="1" customFormat="1" ht="9.75" customHeight="1">
      <c r="A5" s="51">
        <v>1</v>
      </c>
      <c r="B5" s="52">
        <v>2</v>
      </c>
      <c r="C5" s="52">
        <v>3</v>
      </c>
      <c r="D5" s="53">
        <v>4</v>
      </c>
      <c r="E5" s="184">
        <v>5</v>
      </c>
      <c r="F5" s="185">
        <v>6</v>
      </c>
      <c r="G5" s="52">
        <v>7</v>
      </c>
      <c r="H5" s="497">
        <v>8</v>
      </c>
      <c r="I5" s="496">
        <v>9</v>
      </c>
    </row>
    <row r="6" spans="2:6" s="1" customFormat="1" ht="3.75" customHeight="1">
      <c r="B6" s="11"/>
      <c r="E6" s="151"/>
      <c r="F6" s="151"/>
    </row>
    <row r="7" spans="2:9" s="1" customFormat="1" ht="13.5" customHeight="1">
      <c r="B7" s="31" t="s">
        <v>7</v>
      </c>
      <c r="C7" s="538" t="s">
        <v>36</v>
      </c>
      <c r="D7" s="538"/>
      <c r="E7" s="538"/>
      <c r="F7" s="538"/>
      <c r="G7" s="538"/>
      <c r="H7" s="381"/>
      <c r="I7" s="7"/>
    </row>
    <row r="8" spans="1:9" s="1" customFormat="1" ht="11.25" customHeight="1">
      <c r="A8" s="3" t="s">
        <v>35</v>
      </c>
      <c r="B8" s="32" t="s">
        <v>10</v>
      </c>
      <c r="C8" s="39" t="s">
        <v>11</v>
      </c>
      <c r="D8" s="3" t="s">
        <v>48</v>
      </c>
      <c r="E8" s="4">
        <v>181</v>
      </c>
      <c r="F8" s="150">
        <v>0</v>
      </c>
      <c r="G8" s="4">
        <f aca="true" t="shared" si="0" ref="G8:G21">E8*F8</f>
        <v>0</v>
      </c>
      <c r="H8" s="4">
        <v>0</v>
      </c>
      <c r="I8" s="4">
        <v>0</v>
      </c>
    </row>
    <row r="9" spans="1:9" s="1" customFormat="1" ht="11.25" customHeight="1">
      <c r="A9" s="3" t="s">
        <v>37</v>
      </c>
      <c r="B9" s="32" t="s">
        <v>12</v>
      </c>
      <c r="C9" s="39" t="s">
        <v>13</v>
      </c>
      <c r="D9" s="3" t="s">
        <v>48</v>
      </c>
      <c r="E9" s="4">
        <v>181</v>
      </c>
      <c r="F9" s="150">
        <v>0</v>
      </c>
      <c r="G9" s="4">
        <f t="shared" si="0"/>
        <v>0</v>
      </c>
      <c r="H9" s="4">
        <v>0</v>
      </c>
      <c r="I9" s="4">
        <v>0</v>
      </c>
    </row>
    <row r="10" spans="1:9" s="1" customFormat="1" ht="11.25" customHeight="1">
      <c r="A10" s="3" t="s">
        <v>38</v>
      </c>
      <c r="B10" s="32" t="s">
        <v>8</v>
      </c>
      <c r="C10" s="39" t="s">
        <v>79</v>
      </c>
      <c r="D10" s="3" t="s">
        <v>48</v>
      </c>
      <c r="E10" s="4">
        <v>25.5</v>
      </c>
      <c r="F10" s="150">
        <v>0</v>
      </c>
      <c r="G10" s="4">
        <f t="shared" si="0"/>
        <v>0</v>
      </c>
      <c r="H10" s="4">
        <v>0</v>
      </c>
      <c r="I10" s="4">
        <v>0</v>
      </c>
    </row>
    <row r="11" spans="1:9" s="1" customFormat="1" ht="11.25" customHeight="1">
      <c r="A11" s="3" t="s">
        <v>39</v>
      </c>
      <c r="B11" s="32" t="s">
        <v>12</v>
      </c>
      <c r="C11" s="39" t="s">
        <v>13</v>
      </c>
      <c r="D11" s="3" t="s">
        <v>48</v>
      </c>
      <c r="E11" s="4">
        <v>25.5</v>
      </c>
      <c r="F11" s="150">
        <v>0</v>
      </c>
      <c r="G11" s="4">
        <f t="shared" si="0"/>
        <v>0</v>
      </c>
      <c r="H11" s="4">
        <v>0</v>
      </c>
      <c r="I11" s="4">
        <v>0</v>
      </c>
    </row>
    <row r="12" spans="1:9" s="1" customFormat="1" ht="11.25" customHeight="1">
      <c r="A12" s="3" t="s">
        <v>40</v>
      </c>
      <c r="B12" s="32" t="s">
        <v>80</v>
      </c>
      <c r="C12" s="39" t="s">
        <v>81</v>
      </c>
      <c r="D12" s="3" t="s">
        <v>26</v>
      </c>
      <c r="E12" s="4">
        <v>360</v>
      </c>
      <c r="F12" s="150">
        <v>0</v>
      </c>
      <c r="G12" s="4">
        <f t="shared" si="0"/>
        <v>0</v>
      </c>
      <c r="H12" s="4">
        <v>0</v>
      </c>
      <c r="I12" s="4">
        <v>0</v>
      </c>
    </row>
    <row r="13" spans="1:9" s="1" customFormat="1" ht="11.25" customHeight="1">
      <c r="A13" s="3" t="s">
        <v>41</v>
      </c>
      <c r="B13" s="32" t="s">
        <v>82</v>
      </c>
      <c r="C13" s="39" t="s">
        <v>83</v>
      </c>
      <c r="D13" s="3" t="s">
        <v>26</v>
      </c>
      <c r="E13" s="4">
        <v>360</v>
      </c>
      <c r="F13" s="150">
        <v>0</v>
      </c>
      <c r="G13" s="4">
        <f t="shared" si="0"/>
        <v>0</v>
      </c>
      <c r="H13" s="4">
        <v>0</v>
      </c>
      <c r="I13" s="4">
        <v>0</v>
      </c>
    </row>
    <row r="14" spans="1:9" s="1" customFormat="1" ht="11.25" customHeight="1">
      <c r="A14" s="3" t="s">
        <v>42</v>
      </c>
      <c r="B14" s="32" t="s">
        <v>84</v>
      </c>
      <c r="C14" s="39" t="s">
        <v>85</v>
      </c>
      <c r="D14" s="3" t="s">
        <v>26</v>
      </c>
      <c r="E14" s="4">
        <v>24</v>
      </c>
      <c r="F14" s="150">
        <v>0</v>
      </c>
      <c r="G14" s="4">
        <f t="shared" si="0"/>
        <v>0</v>
      </c>
      <c r="H14" s="4">
        <v>0</v>
      </c>
      <c r="I14" s="4">
        <v>0</v>
      </c>
    </row>
    <row r="15" spans="1:9" s="1" customFormat="1" ht="11.25" customHeight="1">
      <c r="A15" s="3" t="s">
        <v>43</v>
      </c>
      <c r="B15" s="32" t="s">
        <v>86</v>
      </c>
      <c r="C15" s="39" t="s">
        <v>87</v>
      </c>
      <c r="D15" s="3" t="s">
        <v>26</v>
      </c>
      <c r="E15" s="4">
        <v>24</v>
      </c>
      <c r="F15" s="150">
        <v>0</v>
      </c>
      <c r="G15" s="4">
        <f t="shared" si="0"/>
        <v>0</v>
      </c>
      <c r="H15" s="4">
        <v>0</v>
      </c>
      <c r="I15" s="4">
        <v>0</v>
      </c>
    </row>
    <row r="16" spans="1:9" s="1" customFormat="1" ht="11.25" customHeight="1">
      <c r="A16" s="3" t="s">
        <v>44</v>
      </c>
      <c r="B16" s="32" t="s">
        <v>45</v>
      </c>
      <c r="C16" s="39" t="s">
        <v>14</v>
      </c>
      <c r="D16" s="3" t="s">
        <v>48</v>
      </c>
      <c r="E16" s="4">
        <v>206.5</v>
      </c>
      <c r="F16" s="150">
        <v>0</v>
      </c>
      <c r="G16" s="4">
        <f t="shared" si="0"/>
        <v>0</v>
      </c>
      <c r="H16" s="4">
        <v>0</v>
      </c>
      <c r="I16" s="4">
        <v>0</v>
      </c>
    </row>
    <row r="17" spans="1:9" s="1" customFormat="1" ht="11.25" customHeight="1">
      <c r="A17" s="3" t="s">
        <v>46</v>
      </c>
      <c r="B17" s="32" t="s">
        <v>2</v>
      </c>
      <c r="C17" s="39" t="s">
        <v>59</v>
      </c>
      <c r="D17" s="3" t="s">
        <v>48</v>
      </c>
      <c r="E17" s="4">
        <v>135</v>
      </c>
      <c r="F17" s="150">
        <v>0</v>
      </c>
      <c r="G17" s="4">
        <f t="shared" si="0"/>
        <v>0</v>
      </c>
      <c r="H17" s="4">
        <v>0</v>
      </c>
      <c r="I17" s="4">
        <v>0</v>
      </c>
    </row>
    <row r="18" spans="1:9" s="1" customFormat="1" ht="11.25" customHeight="1">
      <c r="A18" s="3" t="s">
        <v>0</v>
      </c>
      <c r="B18" s="32" t="s">
        <v>15</v>
      </c>
      <c r="C18" s="39" t="s">
        <v>16</v>
      </c>
      <c r="D18" s="3" t="s">
        <v>48</v>
      </c>
      <c r="E18" s="4">
        <v>71.5</v>
      </c>
      <c r="F18" s="150">
        <v>0</v>
      </c>
      <c r="G18" s="4">
        <f t="shared" si="0"/>
        <v>0</v>
      </c>
      <c r="H18" s="4">
        <v>0</v>
      </c>
      <c r="I18" s="4">
        <v>0</v>
      </c>
    </row>
    <row r="19" spans="1:9" s="1" customFormat="1" ht="11.25" customHeight="1">
      <c r="A19" s="3" t="s">
        <v>49</v>
      </c>
      <c r="B19" s="32" t="s">
        <v>88</v>
      </c>
      <c r="C19" s="39" t="s">
        <v>187</v>
      </c>
      <c r="D19" s="3" t="s">
        <v>188</v>
      </c>
      <c r="E19" s="4">
        <v>45.5</v>
      </c>
      <c r="F19" s="150">
        <v>0</v>
      </c>
      <c r="G19" s="4">
        <f t="shared" si="0"/>
        <v>0</v>
      </c>
      <c r="H19" s="4">
        <v>0</v>
      </c>
      <c r="I19" s="4">
        <v>0</v>
      </c>
    </row>
    <row r="20" spans="1:9" s="1" customFormat="1" ht="11.25" customHeight="1">
      <c r="A20" s="3" t="s">
        <v>50</v>
      </c>
      <c r="B20" s="32" t="s">
        <v>89</v>
      </c>
      <c r="C20" s="39" t="s">
        <v>90</v>
      </c>
      <c r="D20" s="3" t="s">
        <v>48</v>
      </c>
      <c r="E20" s="4">
        <v>45</v>
      </c>
      <c r="F20" s="150">
        <v>0</v>
      </c>
      <c r="G20" s="4">
        <f t="shared" si="0"/>
        <v>0</v>
      </c>
      <c r="H20" s="4">
        <v>0</v>
      </c>
      <c r="I20" s="4">
        <v>0</v>
      </c>
    </row>
    <row r="21" spans="1:9" s="1" customFormat="1" ht="11.25" customHeight="1">
      <c r="A21" s="3" t="s">
        <v>51</v>
      </c>
      <c r="B21" s="32" t="s">
        <v>91</v>
      </c>
      <c r="C21" s="39" t="s">
        <v>189</v>
      </c>
      <c r="D21" s="3" t="s">
        <v>188</v>
      </c>
      <c r="E21" s="4">
        <v>94.5</v>
      </c>
      <c r="F21" s="150">
        <v>0</v>
      </c>
      <c r="G21" s="4">
        <f t="shared" si="0"/>
        <v>0</v>
      </c>
      <c r="H21" s="4">
        <v>0</v>
      </c>
      <c r="I21" s="4">
        <v>0</v>
      </c>
    </row>
    <row r="22" spans="2:9" s="1" customFormat="1" ht="11.25" customHeight="1">
      <c r="B22" s="33" t="s">
        <v>7</v>
      </c>
      <c r="C22" s="536" t="s">
        <v>36</v>
      </c>
      <c r="D22" s="536"/>
      <c r="E22" s="536"/>
      <c r="F22" s="5"/>
      <c r="G22" s="5">
        <f>SUM(G8:G21)</f>
        <v>0</v>
      </c>
      <c r="H22" s="5">
        <f>SUM(H8:H21)</f>
        <v>0</v>
      </c>
      <c r="I22" s="5">
        <f>SUM(I8:I21)</f>
        <v>0</v>
      </c>
    </row>
    <row r="23" spans="2:6" s="1" customFormat="1" ht="3.75" customHeight="1">
      <c r="B23" s="11"/>
      <c r="E23" s="151"/>
      <c r="F23" s="151"/>
    </row>
    <row r="24" spans="2:8" s="1" customFormat="1" ht="11.25" customHeight="1">
      <c r="B24" s="31" t="s">
        <v>18</v>
      </c>
      <c r="C24" s="538" t="s">
        <v>20</v>
      </c>
      <c r="D24" s="538"/>
      <c r="E24" s="538"/>
      <c r="F24" s="538"/>
      <c r="G24" s="538"/>
      <c r="H24" s="7"/>
    </row>
    <row r="25" spans="1:9" s="1" customFormat="1" ht="11.25" customHeight="1">
      <c r="A25" s="3" t="s">
        <v>35</v>
      </c>
      <c r="B25" s="32" t="s">
        <v>94</v>
      </c>
      <c r="C25" s="39" t="s">
        <v>95</v>
      </c>
      <c r="D25" s="3" t="s">
        <v>48</v>
      </c>
      <c r="E25" s="4">
        <v>15.5</v>
      </c>
      <c r="F25" s="150">
        <v>0</v>
      </c>
      <c r="G25" s="4">
        <f>E25*F25</f>
        <v>0</v>
      </c>
      <c r="H25" s="4">
        <v>0</v>
      </c>
      <c r="I25" s="4">
        <v>0</v>
      </c>
    </row>
    <row r="26" spans="2:9" s="1" customFormat="1" ht="11.25" customHeight="1">
      <c r="B26" s="33" t="s">
        <v>18</v>
      </c>
      <c r="C26" s="536" t="s">
        <v>20</v>
      </c>
      <c r="D26" s="536"/>
      <c r="E26" s="536"/>
      <c r="F26" s="5"/>
      <c r="G26" s="5">
        <f>SUM(G25:G25)</f>
        <v>0</v>
      </c>
      <c r="H26" s="5">
        <f>SUM(H25:H25)</f>
        <v>0</v>
      </c>
      <c r="I26" s="5">
        <f>SUM(I25:I25)</f>
        <v>0</v>
      </c>
    </row>
    <row r="27" spans="2:6" s="1" customFormat="1" ht="3.75" customHeight="1">
      <c r="B27" s="11"/>
      <c r="E27" s="151"/>
      <c r="F27" s="151"/>
    </row>
    <row r="28" spans="2:9" s="1" customFormat="1" ht="11.25" customHeight="1">
      <c r="B28" s="31" t="s">
        <v>21</v>
      </c>
      <c r="C28" s="538" t="s">
        <v>191</v>
      </c>
      <c r="D28" s="538"/>
      <c r="E28" s="538"/>
      <c r="F28" s="538"/>
      <c r="G28" s="538"/>
      <c r="H28" s="7"/>
      <c r="I28" s="7"/>
    </row>
    <row r="29" spans="1:9" s="1" customFormat="1" ht="11.25" customHeight="1">
      <c r="A29" s="3" t="s">
        <v>35</v>
      </c>
      <c r="B29" s="32" t="s">
        <v>96</v>
      </c>
      <c r="C29" s="39" t="s">
        <v>207</v>
      </c>
      <c r="D29" s="3" t="s">
        <v>54</v>
      </c>
      <c r="E29" s="4">
        <v>35</v>
      </c>
      <c r="F29" s="150">
        <v>0</v>
      </c>
      <c r="G29" s="4">
        <f aca="true" t="shared" si="1" ref="G29:G54">E29*F29</f>
        <v>0</v>
      </c>
      <c r="H29" s="4">
        <v>0</v>
      </c>
      <c r="I29" s="4">
        <v>0</v>
      </c>
    </row>
    <row r="30" spans="1:9" s="1" customFormat="1" ht="11.25" customHeight="1">
      <c r="A30" s="3" t="s">
        <v>37</v>
      </c>
      <c r="B30" s="32" t="s">
        <v>97</v>
      </c>
      <c r="C30" s="39" t="s">
        <v>192</v>
      </c>
      <c r="D30" s="3" t="s">
        <v>25</v>
      </c>
      <c r="E30" s="4">
        <v>6</v>
      </c>
      <c r="F30" s="150">
        <v>0</v>
      </c>
      <c r="G30" s="4">
        <f t="shared" si="1"/>
        <v>0</v>
      </c>
      <c r="H30" s="4">
        <v>0</v>
      </c>
      <c r="I30" s="4">
        <v>0</v>
      </c>
    </row>
    <row r="31" spans="1:9" s="1" customFormat="1" ht="11.25" customHeight="1">
      <c r="A31" s="3" t="s">
        <v>38</v>
      </c>
      <c r="B31" s="32" t="s">
        <v>98</v>
      </c>
      <c r="C31" s="39" t="s">
        <v>208</v>
      </c>
      <c r="D31" s="3" t="s">
        <v>54</v>
      </c>
      <c r="E31" s="4">
        <v>54.7</v>
      </c>
      <c r="F31" s="150">
        <v>0</v>
      </c>
      <c r="G31" s="4">
        <f t="shared" si="1"/>
        <v>0</v>
      </c>
      <c r="H31" s="4">
        <v>0</v>
      </c>
      <c r="I31" s="4">
        <v>0</v>
      </c>
    </row>
    <row r="32" spans="1:9" s="1" customFormat="1" ht="11.25" customHeight="1">
      <c r="A32" s="3" t="s">
        <v>39</v>
      </c>
      <c r="B32" s="32" t="s">
        <v>99</v>
      </c>
      <c r="C32" s="39" t="s">
        <v>193</v>
      </c>
      <c r="D32" s="3" t="s">
        <v>25</v>
      </c>
      <c r="E32" s="4">
        <v>10</v>
      </c>
      <c r="F32" s="150">
        <v>0</v>
      </c>
      <c r="G32" s="4">
        <f t="shared" si="1"/>
        <v>0</v>
      </c>
      <c r="H32" s="4">
        <v>0</v>
      </c>
      <c r="I32" s="4">
        <v>0</v>
      </c>
    </row>
    <row r="33" spans="1:9" s="1" customFormat="1" ht="11.25" customHeight="1">
      <c r="A33" s="3" t="s">
        <v>40</v>
      </c>
      <c r="B33" s="32" t="s">
        <v>100</v>
      </c>
      <c r="C33" s="39" t="s">
        <v>212</v>
      </c>
      <c r="D33" s="3" t="s">
        <v>54</v>
      </c>
      <c r="E33" s="4">
        <v>1.6</v>
      </c>
      <c r="F33" s="150">
        <v>0</v>
      </c>
      <c r="G33" s="4">
        <f t="shared" si="1"/>
        <v>0</v>
      </c>
      <c r="H33" s="4">
        <v>0</v>
      </c>
      <c r="I33" s="4">
        <v>0</v>
      </c>
    </row>
    <row r="34" spans="1:9" s="1" customFormat="1" ht="11.25" customHeight="1">
      <c r="A34" s="3" t="s">
        <v>41</v>
      </c>
      <c r="B34" s="32" t="s">
        <v>101</v>
      </c>
      <c r="C34" s="39" t="s">
        <v>194</v>
      </c>
      <c r="D34" s="3" t="s">
        <v>25</v>
      </c>
      <c r="E34" s="4">
        <v>1</v>
      </c>
      <c r="F34" s="150">
        <v>0</v>
      </c>
      <c r="G34" s="4">
        <f t="shared" si="1"/>
        <v>0</v>
      </c>
      <c r="H34" s="4">
        <v>0</v>
      </c>
      <c r="I34" s="4">
        <v>0</v>
      </c>
    </row>
    <row r="35" spans="1:9" s="1" customFormat="1" ht="11.25" customHeight="1">
      <c r="A35" s="3" t="s">
        <v>44</v>
      </c>
      <c r="B35" s="32" t="s">
        <v>104</v>
      </c>
      <c r="C35" s="39" t="s">
        <v>158</v>
      </c>
      <c r="D35" s="3" t="s">
        <v>25</v>
      </c>
      <c r="E35" s="4">
        <v>3</v>
      </c>
      <c r="F35" s="150">
        <v>0</v>
      </c>
      <c r="G35" s="4">
        <f t="shared" si="1"/>
        <v>0</v>
      </c>
      <c r="H35" s="4">
        <v>0</v>
      </c>
      <c r="I35" s="4">
        <v>0</v>
      </c>
    </row>
    <row r="36" spans="1:9" s="1" customFormat="1" ht="11.25" customHeight="1">
      <c r="A36" s="3" t="s">
        <v>46</v>
      </c>
      <c r="B36" s="32" t="s">
        <v>105</v>
      </c>
      <c r="C36" s="39" t="s">
        <v>213</v>
      </c>
      <c r="D36" s="3" t="s">
        <v>25</v>
      </c>
      <c r="E36" s="4">
        <v>3</v>
      </c>
      <c r="F36" s="150">
        <v>0</v>
      </c>
      <c r="G36" s="4">
        <f t="shared" si="1"/>
        <v>0</v>
      </c>
      <c r="H36" s="4">
        <v>0</v>
      </c>
      <c r="I36" s="4">
        <v>0</v>
      </c>
    </row>
    <row r="37" spans="1:9" s="1" customFormat="1" ht="11.25" customHeight="1">
      <c r="A37" s="3" t="s">
        <v>0</v>
      </c>
      <c r="B37" s="32" t="s">
        <v>106</v>
      </c>
      <c r="C37" s="39" t="s">
        <v>107</v>
      </c>
      <c r="D37" s="3" t="s">
        <v>25</v>
      </c>
      <c r="E37" s="4">
        <v>3</v>
      </c>
      <c r="F37" s="150">
        <v>0</v>
      </c>
      <c r="G37" s="4">
        <f t="shared" si="1"/>
        <v>0</v>
      </c>
      <c r="H37" s="4">
        <v>0</v>
      </c>
      <c r="I37" s="4">
        <v>0</v>
      </c>
    </row>
    <row r="38" spans="1:9" s="1" customFormat="1" ht="11.25" customHeight="1">
      <c r="A38" s="3" t="s">
        <v>49</v>
      </c>
      <c r="B38" s="32" t="s">
        <v>108</v>
      </c>
      <c r="C38" s="39" t="s">
        <v>210</v>
      </c>
      <c r="D38" s="3" t="s">
        <v>25</v>
      </c>
      <c r="E38" s="4">
        <v>3</v>
      </c>
      <c r="F38" s="150">
        <v>0</v>
      </c>
      <c r="G38" s="4">
        <f t="shared" si="1"/>
        <v>0</v>
      </c>
      <c r="H38" s="4">
        <v>0</v>
      </c>
      <c r="I38" s="4">
        <v>0</v>
      </c>
    </row>
    <row r="39" spans="1:9" s="1" customFormat="1" ht="11.25" customHeight="1">
      <c r="A39" s="3" t="s">
        <v>50</v>
      </c>
      <c r="B39" s="32" t="s">
        <v>109</v>
      </c>
      <c r="C39" s="39" t="s">
        <v>110</v>
      </c>
      <c r="D39" s="3" t="s">
        <v>25</v>
      </c>
      <c r="E39" s="4">
        <v>3</v>
      </c>
      <c r="F39" s="150">
        <v>0</v>
      </c>
      <c r="G39" s="4">
        <f t="shared" si="1"/>
        <v>0</v>
      </c>
      <c r="H39" s="4">
        <v>0</v>
      </c>
      <c r="I39" s="4">
        <v>0</v>
      </c>
    </row>
    <row r="40" spans="1:9" s="1" customFormat="1" ht="11.25" customHeight="1">
      <c r="A40" s="3" t="s">
        <v>51</v>
      </c>
      <c r="B40" s="32" t="s">
        <v>111</v>
      </c>
      <c r="C40" s="39" t="s">
        <v>211</v>
      </c>
      <c r="D40" s="3" t="s">
        <v>25</v>
      </c>
      <c r="E40" s="4">
        <v>3</v>
      </c>
      <c r="F40" s="150">
        <v>0</v>
      </c>
      <c r="G40" s="4">
        <f t="shared" si="1"/>
        <v>0</v>
      </c>
      <c r="H40" s="4">
        <v>0</v>
      </c>
      <c r="I40" s="4">
        <v>0</v>
      </c>
    </row>
    <row r="41" spans="1:9" s="1" customFormat="1" ht="11.25" customHeight="1">
      <c r="A41" s="3" t="s">
        <v>1</v>
      </c>
      <c r="B41" s="32" t="s">
        <v>112</v>
      </c>
      <c r="C41" s="39" t="s">
        <v>113</v>
      </c>
      <c r="D41" s="3" t="s">
        <v>25</v>
      </c>
      <c r="E41" s="4">
        <v>3</v>
      </c>
      <c r="F41" s="150">
        <v>0</v>
      </c>
      <c r="G41" s="4">
        <f t="shared" si="1"/>
        <v>0</v>
      </c>
      <c r="H41" s="4">
        <v>0</v>
      </c>
      <c r="I41" s="4">
        <v>0</v>
      </c>
    </row>
    <row r="42" spans="1:9" s="1" customFormat="1" ht="11.25" customHeight="1">
      <c r="A42" s="3" t="s">
        <v>3</v>
      </c>
      <c r="B42" s="32" t="s">
        <v>114</v>
      </c>
      <c r="C42" s="39" t="s">
        <v>115</v>
      </c>
      <c r="D42" s="3" t="s">
        <v>25</v>
      </c>
      <c r="E42" s="4">
        <v>3</v>
      </c>
      <c r="F42" s="150">
        <v>0</v>
      </c>
      <c r="G42" s="4">
        <f t="shared" si="1"/>
        <v>0</v>
      </c>
      <c r="H42" s="4">
        <v>0</v>
      </c>
      <c r="I42" s="4">
        <v>0</v>
      </c>
    </row>
    <row r="43" spans="1:9" s="1" customFormat="1" ht="11.25" customHeight="1">
      <c r="A43" s="3" t="s">
        <v>116</v>
      </c>
      <c r="B43" s="32" t="s">
        <v>117</v>
      </c>
      <c r="C43" s="39" t="s">
        <v>199</v>
      </c>
      <c r="D43" s="3" t="s">
        <v>25</v>
      </c>
      <c r="E43" s="4">
        <v>3</v>
      </c>
      <c r="F43" s="150">
        <v>0</v>
      </c>
      <c r="G43" s="4">
        <f t="shared" si="1"/>
        <v>0</v>
      </c>
      <c r="H43" s="4">
        <v>0</v>
      </c>
      <c r="I43" s="4">
        <v>0</v>
      </c>
    </row>
    <row r="44" spans="1:9" s="1" customFormat="1" ht="11.25" customHeight="1">
      <c r="A44" s="3" t="s">
        <v>118</v>
      </c>
      <c r="B44" s="32" t="s">
        <v>119</v>
      </c>
      <c r="C44" s="39" t="s">
        <v>120</v>
      </c>
      <c r="D44" s="3" t="s">
        <v>25</v>
      </c>
      <c r="E44" s="4">
        <v>3</v>
      </c>
      <c r="F44" s="150">
        <v>0</v>
      </c>
      <c r="G44" s="4">
        <f t="shared" si="1"/>
        <v>0</v>
      </c>
      <c r="H44" s="4">
        <v>0</v>
      </c>
      <c r="I44" s="4">
        <v>0</v>
      </c>
    </row>
    <row r="45" spans="1:9" s="1" customFormat="1" ht="11.25" customHeight="1">
      <c r="A45" s="3" t="s">
        <v>121</v>
      </c>
      <c r="B45" s="32" t="s">
        <v>122</v>
      </c>
      <c r="C45" s="39" t="s">
        <v>200</v>
      </c>
      <c r="D45" s="3" t="s">
        <v>25</v>
      </c>
      <c r="E45" s="4">
        <v>3</v>
      </c>
      <c r="F45" s="150">
        <v>0</v>
      </c>
      <c r="G45" s="4">
        <f t="shared" si="1"/>
        <v>0</v>
      </c>
      <c r="H45" s="4">
        <v>0</v>
      </c>
      <c r="I45" s="4">
        <v>0</v>
      </c>
    </row>
    <row r="46" spans="1:9" s="1" customFormat="1" ht="11.25" customHeight="1">
      <c r="A46" s="3" t="s">
        <v>123</v>
      </c>
      <c r="B46" s="32" t="s">
        <v>124</v>
      </c>
      <c r="C46" s="39" t="s">
        <v>201</v>
      </c>
      <c r="D46" s="3" t="s">
        <v>25</v>
      </c>
      <c r="E46" s="4">
        <v>3</v>
      </c>
      <c r="F46" s="150">
        <v>0</v>
      </c>
      <c r="G46" s="4">
        <f t="shared" si="1"/>
        <v>0</v>
      </c>
      <c r="H46" s="4">
        <v>0</v>
      </c>
      <c r="I46" s="4">
        <v>0</v>
      </c>
    </row>
    <row r="47" spans="1:9" s="1" customFormat="1" ht="11.25" customHeight="1">
      <c r="A47" s="3" t="s">
        <v>125</v>
      </c>
      <c r="B47" s="32" t="s">
        <v>126</v>
      </c>
      <c r="C47" s="39" t="s">
        <v>202</v>
      </c>
      <c r="D47" s="3" t="s">
        <v>25</v>
      </c>
      <c r="E47" s="4">
        <v>3</v>
      </c>
      <c r="F47" s="150">
        <v>0</v>
      </c>
      <c r="G47" s="4">
        <f t="shared" si="1"/>
        <v>0</v>
      </c>
      <c r="H47" s="4">
        <v>0</v>
      </c>
      <c r="I47" s="4">
        <v>0</v>
      </c>
    </row>
    <row r="48" spans="1:9" s="1" customFormat="1" ht="11.25" customHeight="1">
      <c r="A48" s="3" t="s">
        <v>127</v>
      </c>
      <c r="B48" s="32" t="s">
        <v>128</v>
      </c>
      <c r="C48" s="39" t="s">
        <v>203</v>
      </c>
      <c r="D48" s="3" t="s">
        <v>25</v>
      </c>
      <c r="E48" s="4">
        <v>3</v>
      </c>
      <c r="F48" s="150">
        <v>0</v>
      </c>
      <c r="G48" s="4">
        <f t="shared" si="1"/>
        <v>0</v>
      </c>
      <c r="H48" s="4">
        <v>0</v>
      </c>
      <c r="I48" s="4">
        <v>0</v>
      </c>
    </row>
    <row r="49" spans="1:9" s="1" customFormat="1" ht="11.25" customHeight="1">
      <c r="A49" s="3" t="s">
        <v>129</v>
      </c>
      <c r="B49" s="32" t="s">
        <v>130</v>
      </c>
      <c r="C49" s="39" t="s">
        <v>204</v>
      </c>
      <c r="D49" s="3" t="s">
        <v>25</v>
      </c>
      <c r="E49" s="4">
        <v>3</v>
      </c>
      <c r="F49" s="150">
        <v>0</v>
      </c>
      <c r="G49" s="4">
        <f t="shared" si="1"/>
        <v>0</v>
      </c>
      <c r="H49" s="4">
        <v>0</v>
      </c>
      <c r="I49" s="4">
        <v>0</v>
      </c>
    </row>
    <row r="50" spans="1:9" s="1" customFormat="1" ht="11.25" customHeight="1">
      <c r="A50" s="3" t="s">
        <v>131</v>
      </c>
      <c r="B50" s="32" t="s">
        <v>132</v>
      </c>
      <c r="C50" s="39" t="s">
        <v>133</v>
      </c>
      <c r="D50" s="3" t="s">
        <v>25</v>
      </c>
      <c r="E50" s="4">
        <v>3</v>
      </c>
      <c r="F50" s="150">
        <v>0</v>
      </c>
      <c r="G50" s="4">
        <f t="shared" si="1"/>
        <v>0</v>
      </c>
      <c r="H50" s="4">
        <v>0</v>
      </c>
      <c r="I50" s="4">
        <v>0</v>
      </c>
    </row>
    <row r="51" spans="1:9" s="1" customFormat="1" ht="11.25" customHeight="1">
      <c r="A51" s="3" t="s">
        <v>134</v>
      </c>
      <c r="B51" s="32" t="s">
        <v>135</v>
      </c>
      <c r="C51" s="39" t="s">
        <v>205</v>
      </c>
      <c r="D51" s="3" t="s">
        <v>25</v>
      </c>
      <c r="E51" s="4">
        <v>3</v>
      </c>
      <c r="F51" s="150">
        <v>0</v>
      </c>
      <c r="G51" s="4">
        <f t="shared" si="1"/>
        <v>0</v>
      </c>
      <c r="H51" s="4">
        <v>0</v>
      </c>
      <c r="I51" s="4">
        <v>0</v>
      </c>
    </row>
    <row r="52" spans="1:9" s="1" customFormat="1" ht="11.25" customHeight="1">
      <c r="A52" s="3" t="s">
        <v>136</v>
      </c>
      <c r="B52" s="32" t="s">
        <v>137</v>
      </c>
      <c r="C52" s="39" t="s">
        <v>138</v>
      </c>
      <c r="D52" s="3" t="s">
        <v>25</v>
      </c>
      <c r="E52" s="4">
        <v>5</v>
      </c>
      <c r="F52" s="150">
        <v>0</v>
      </c>
      <c r="G52" s="4">
        <f t="shared" si="1"/>
        <v>0</v>
      </c>
      <c r="H52" s="4">
        <v>0</v>
      </c>
      <c r="I52" s="4">
        <v>0</v>
      </c>
    </row>
    <row r="53" spans="1:9" s="1" customFormat="1" ht="11.25" customHeight="1">
      <c r="A53" s="3" t="s">
        <v>139</v>
      </c>
      <c r="B53" s="32" t="s">
        <v>140</v>
      </c>
      <c r="C53" s="39" t="s">
        <v>206</v>
      </c>
      <c r="D53" s="3" t="s">
        <v>25</v>
      </c>
      <c r="E53" s="4">
        <v>3</v>
      </c>
      <c r="F53" s="150">
        <v>0</v>
      </c>
      <c r="G53" s="4">
        <f t="shared" si="1"/>
        <v>0</v>
      </c>
      <c r="H53" s="4">
        <v>0</v>
      </c>
      <c r="I53" s="4">
        <v>0</v>
      </c>
    </row>
    <row r="54" spans="1:9" s="1" customFormat="1" ht="11.25" customHeight="1">
      <c r="A54" s="3" t="s">
        <v>141</v>
      </c>
      <c r="B54" s="32" t="s">
        <v>142</v>
      </c>
      <c r="C54" s="39" t="s">
        <v>186</v>
      </c>
      <c r="D54" s="3" t="s">
        <v>54</v>
      </c>
      <c r="E54" s="4">
        <v>90</v>
      </c>
      <c r="F54" s="150">
        <v>0</v>
      </c>
      <c r="G54" s="4">
        <f t="shared" si="1"/>
        <v>0</v>
      </c>
      <c r="H54" s="4">
        <v>0</v>
      </c>
      <c r="I54" s="4">
        <v>0</v>
      </c>
    </row>
    <row r="55" spans="2:9" s="1" customFormat="1" ht="11.25" customHeight="1">
      <c r="B55" s="33" t="s">
        <v>21</v>
      </c>
      <c r="C55" s="536" t="s">
        <v>191</v>
      </c>
      <c r="D55" s="536"/>
      <c r="E55" s="536"/>
      <c r="F55" s="5"/>
      <c r="G55" s="5">
        <f>SUM(G29:G54)</f>
        <v>0</v>
      </c>
      <c r="H55" s="5">
        <f>SUM(H29:H54)</f>
        <v>0</v>
      </c>
      <c r="I55" s="5">
        <f>SUM(I29:I54)</f>
        <v>0</v>
      </c>
    </row>
    <row r="56" spans="2:6" s="1" customFormat="1" ht="3.75" customHeight="1">
      <c r="B56" s="11"/>
      <c r="E56" s="151"/>
      <c r="F56" s="151"/>
    </row>
    <row r="57" spans="2:8" s="1" customFormat="1" ht="11.25" customHeight="1">
      <c r="B57" s="31" t="s">
        <v>22</v>
      </c>
      <c r="C57" s="538" t="s">
        <v>143</v>
      </c>
      <c r="D57" s="538"/>
      <c r="E57" s="538"/>
      <c r="F57" s="538"/>
      <c r="G57" s="538"/>
      <c r="H57" s="7"/>
    </row>
    <row r="58" spans="1:9" s="1" customFormat="1" ht="11.25" customHeight="1">
      <c r="A58" s="3" t="s">
        <v>35</v>
      </c>
      <c r="B58" s="32" t="s">
        <v>144</v>
      </c>
      <c r="C58" s="39" t="s">
        <v>145</v>
      </c>
      <c r="D58" s="3" t="s">
        <v>54</v>
      </c>
      <c r="E58" s="4">
        <v>90</v>
      </c>
      <c r="F58" s="150">
        <v>0</v>
      </c>
      <c r="G58" s="4">
        <f>E58*F58</f>
        <v>0</v>
      </c>
      <c r="H58" s="4">
        <v>0</v>
      </c>
      <c r="I58" s="4">
        <v>0</v>
      </c>
    </row>
    <row r="59" spans="2:9" s="1" customFormat="1" ht="11.25" customHeight="1">
      <c r="B59" s="33" t="s">
        <v>22</v>
      </c>
      <c r="C59" s="536" t="s">
        <v>143</v>
      </c>
      <c r="D59" s="536"/>
      <c r="E59" s="536"/>
      <c r="F59" s="5"/>
      <c r="G59" s="5">
        <f>SUM(G58:G58)</f>
        <v>0</v>
      </c>
      <c r="H59" s="5">
        <f>SUM(H58:H58)</f>
        <v>0</v>
      </c>
      <c r="I59" s="5">
        <f>SUM(I58:I58)</f>
        <v>0</v>
      </c>
    </row>
    <row r="60" spans="2:9" s="1" customFormat="1" ht="11.25" customHeight="1">
      <c r="B60" s="30" t="s">
        <v>159</v>
      </c>
      <c r="C60" s="2" t="s">
        <v>4</v>
      </c>
      <c r="D60" s="561"/>
      <c r="E60" s="561"/>
      <c r="F60" s="6"/>
      <c r="G60" s="6">
        <f>SUM(G59+G55+G26+G22)</f>
        <v>0</v>
      </c>
      <c r="H60" s="6">
        <f>SUM(H59+H55+H26+H22)</f>
        <v>0</v>
      </c>
      <c r="I60" s="6">
        <f>SUM(I59+I55+I26+I22)</f>
        <v>0</v>
      </c>
    </row>
    <row r="61" spans="2:6" s="1" customFormat="1" ht="3.75" customHeight="1">
      <c r="B61" s="11"/>
      <c r="E61" s="151"/>
      <c r="F61" s="151"/>
    </row>
    <row r="62" spans="2:7" s="1" customFormat="1" ht="11.25" customHeight="1">
      <c r="B62" s="30" t="s">
        <v>160</v>
      </c>
      <c r="C62" s="561" t="s">
        <v>161</v>
      </c>
      <c r="D62" s="561"/>
      <c r="E62" s="561"/>
      <c r="F62" s="561"/>
      <c r="G62" s="561"/>
    </row>
    <row r="63" spans="2:6" s="1" customFormat="1" ht="3.75" customHeight="1">
      <c r="B63" s="11"/>
      <c r="E63" s="151"/>
      <c r="F63" s="151"/>
    </row>
    <row r="64" spans="2:8" s="1" customFormat="1" ht="11.25" customHeight="1">
      <c r="B64" s="31" t="s">
        <v>7</v>
      </c>
      <c r="C64" s="538" t="s">
        <v>36</v>
      </c>
      <c r="D64" s="538"/>
      <c r="E64" s="538"/>
      <c r="F64" s="538"/>
      <c r="G64" s="538"/>
      <c r="H64" s="7"/>
    </row>
    <row r="65" spans="1:9" s="1" customFormat="1" ht="11.25" customHeight="1">
      <c r="A65" s="3" t="s">
        <v>35</v>
      </c>
      <c r="B65" s="32" t="s">
        <v>8</v>
      </c>
      <c r="C65" s="39" t="s">
        <v>9</v>
      </c>
      <c r="D65" s="3" t="s">
        <v>48</v>
      </c>
      <c r="E65" s="4">
        <v>59.1</v>
      </c>
      <c r="F65" s="150">
        <v>0</v>
      </c>
      <c r="G65" s="4">
        <f aca="true" t="shared" si="2" ref="G65:G72">E65*F65</f>
        <v>0</v>
      </c>
      <c r="H65" s="4">
        <v>0</v>
      </c>
      <c r="I65" s="4">
        <v>0</v>
      </c>
    </row>
    <row r="66" spans="1:9" s="1" customFormat="1" ht="11.25" customHeight="1">
      <c r="A66" s="3" t="s">
        <v>37</v>
      </c>
      <c r="B66" s="32" t="s">
        <v>12</v>
      </c>
      <c r="C66" s="39" t="s">
        <v>13</v>
      </c>
      <c r="D66" s="3" t="s">
        <v>48</v>
      </c>
      <c r="E66" s="4">
        <v>59.1</v>
      </c>
      <c r="F66" s="150">
        <v>0</v>
      </c>
      <c r="G66" s="4">
        <f t="shared" si="2"/>
        <v>0</v>
      </c>
      <c r="H66" s="4">
        <v>0</v>
      </c>
      <c r="I66" s="4">
        <v>0</v>
      </c>
    </row>
    <row r="67" spans="1:9" s="1" customFormat="1" ht="11.25" customHeight="1">
      <c r="A67" s="3" t="s">
        <v>38</v>
      </c>
      <c r="B67" s="32" t="s">
        <v>45</v>
      </c>
      <c r="C67" s="39" t="s">
        <v>14</v>
      </c>
      <c r="D67" s="3" t="s">
        <v>48</v>
      </c>
      <c r="E67" s="4">
        <v>59.1</v>
      </c>
      <c r="F67" s="150">
        <v>0</v>
      </c>
      <c r="G67" s="4">
        <f t="shared" si="2"/>
        <v>0</v>
      </c>
      <c r="H67" s="4">
        <v>0</v>
      </c>
      <c r="I67" s="4">
        <v>0</v>
      </c>
    </row>
    <row r="68" spans="1:9" s="1" customFormat="1" ht="11.25" customHeight="1">
      <c r="A68" s="3" t="s">
        <v>39</v>
      </c>
      <c r="B68" s="32" t="s">
        <v>2</v>
      </c>
      <c r="C68" s="39" t="s">
        <v>59</v>
      </c>
      <c r="D68" s="3" t="s">
        <v>48</v>
      </c>
      <c r="E68" s="4">
        <v>42</v>
      </c>
      <c r="F68" s="150">
        <v>0</v>
      </c>
      <c r="G68" s="4">
        <f t="shared" si="2"/>
        <v>0</v>
      </c>
      <c r="H68" s="4">
        <v>0</v>
      </c>
      <c r="I68" s="4">
        <v>0</v>
      </c>
    </row>
    <row r="69" spans="1:9" s="1" customFormat="1" ht="11.25" customHeight="1">
      <c r="A69" s="3" t="s">
        <v>40</v>
      </c>
      <c r="B69" s="32" t="s">
        <v>15</v>
      </c>
      <c r="C69" s="39" t="s">
        <v>16</v>
      </c>
      <c r="D69" s="3" t="s">
        <v>48</v>
      </c>
      <c r="E69" s="4">
        <v>18.1</v>
      </c>
      <c r="F69" s="150">
        <v>0</v>
      </c>
      <c r="G69" s="4">
        <f t="shared" si="2"/>
        <v>0</v>
      </c>
      <c r="H69" s="4">
        <v>0</v>
      </c>
      <c r="I69" s="4">
        <v>0</v>
      </c>
    </row>
    <row r="70" spans="1:9" s="1" customFormat="1" ht="11.25" customHeight="1">
      <c r="A70" s="3" t="s">
        <v>41</v>
      </c>
      <c r="B70" s="32" t="s">
        <v>147</v>
      </c>
      <c r="C70" s="39" t="s">
        <v>148</v>
      </c>
      <c r="D70" s="3" t="s">
        <v>47</v>
      </c>
      <c r="E70" s="4">
        <v>250</v>
      </c>
      <c r="F70" s="150">
        <v>0</v>
      </c>
      <c r="G70" s="4">
        <f t="shared" si="2"/>
        <v>0</v>
      </c>
      <c r="H70" s="4">
        <v>0</v>
      </c>
      <c r="I70" s="4">
        <v>0</v>
      </c>
    </row>
    <row r="71" spans="1:9" s="1" customFormat="1" ht="11.25" customHeight="1">
      <c r="A71" s="3" t="s">
        <v>42</v>
      </c>
      <c r="B71" s="32" t="s">
        <v>149</v>
      </c>
      <c r="C71" s="39" t="s">
        <v>150</v>
      </c>
      <c r="D71" s="3" t="s">
        <v>151</v>
      </c>
      <c r="E71" s="4">
        <v>15</v>
      </c>
      <c r="F71" s="150">
        <v>0</v>
      </c>
      <c r="G71" s="4">
        <f t="shared" si="2"/>
        <v>0</v>
      </c>
      <c r="H71" s="4">
        <v>0</v>
      </c>
      <c r="I71" s="4">
        <v>0</v>
      </c>
    </row>
    <row r="72" spans="1:9" s="1" customFormat="1" ht="11.25" customHeight="1">
      <c r="A72" s="3" t="s">
        <v>43</v>
      </c>
      <c r="B72" s="32" t="s">
        <v>152</v>
      </c>
      <c r="C72" s="39" t="s">
        <v>153</v>
      </c>
      <c r="D72" s="3" t="s">
        <v>25</v>
      </c>
      <c r="E72" s="4">
        <v>1</v>
      </c>
      <c r="F72" s="150">
        <v>0</v>
      </c>
      <c r="G72" s="4">
        <f t="shared" si="2"/>
        <v>0</v>
      </c>
      <c r="H72" s="4">
        <v>0</v>
      </c>
      <c r="I72" s="4">
        <v>0</v>
      </c>
    </row>
    <row r="73" spans="2:9" s="1" customFormat="1" ht="11.25" customHeight="1">
      <c r="B73" s="33" t="s">
        <v>7</v>
      </c>
      <c r="C73" s="536" t="s">
        <v>36</v>
      </c>
      <c r="D73" s="536"/>
      <c r="E73" s="536"/>
      <c r="F73" s="5"/>
      <c r="G73" s="5">
        <f>SUM(G65:G72)</f>
        <v>0</v>
      </c>
      <c r="H73" s="5">
        <f>SUM(H65:H72)</f>
        <v>0</v>
      </c>
      <c r="I73" s="5">
        <f>SUM(I65:I72)</f>
        <v>0</v>
      </c>
    </row>
    <row r="74" spans="2:6" s="1" customFormat="1" ht="3.75" customHeight="1">
      <c r="B74" s="11"/>
      <c r="E74" s="151"/>
      <c r="F74" s="151"/>
    </row>
    <row r="75" spans="2:8" s="1" customFormat="1" ht="11.25" customHeight="1">
      <c r="B75" s="31" t="s">
        <v>17</v>
      </c>
      <c r="C75" s="538" t="s">
        <v>92</v>
      </c>
      <c r="D75" s="538"/>
      <c r="E75" s="538"/>
      <c r="F75" s="538"/>
      <c r="G75" s="538"/>
      <c r="H75" s="7"/>
    </row>
    <row r="76" spans="1:9" s="1" customFormat="1" ht="11.25" customHeight="1">
      <c r="A76" s="3" t="s">
        <v>35</v>
      </c>
      <c r="B76" s="32" t="s">
        <v>35</v>
      </c>
      <c r="C76" s="39" t="s">
        <v>162</v>
      </c>
      <c r="D76" s="3" t="s">
        <v>48</v>
      </c>
      <c r="E76" s="4">
        <v>1.2</v>
      </c>
      <c r="F76" s="150">
        <v>0</v>
      </c>
      <c r="G76" s="4">
        <f>E76*F76</f>
        <v>0</v>
      </c>
      <c r="H76" s="4">
        <v>0</v>
      </c>
      <c r="I76" s="4">
        <v>0</v>
      </c>
    </row>
    <row r="77" spans="1:9" s="1" customFormat="1" ht="11.25" customHeight="1">
      <c r="A77" s="3" t="s">
        <v>37</v>
      </c>
      <c r="B77" s="32" t="s">
        <v>37</v>
      </c>
      <c r="C77" s="39" t="s">
        <v>163</v>
      </c>
      <c r="D77" s="3" t="s">
        <v>26</v>
      </c>
      <c r="E77" s="4">
        <v>9.1</v>
      </c>
      <c r="F77" s="150">
        <v>0</v>
      </c>
      <c r="G77" s="4">
        <f>E77*F77</f>
        <v>0</v>
      </c>
      <c r="H77" s="4">
        <v>0</v>
      </c>
      <c r="I77" s="4">
        <v>0</v>
      </c>
    </row>
    <row r="78" spans="2:9" s="1" customFormat="1" ht="11.25" customHeight="1">
      <c r="B78" s="33" t="s">
        <v>17</v>
      </c>
      <c r="C78" s="536" t="s">
        <v>92</v>
      </c>
      <c r="D78" s="536"/>
      <c r="E78" s="536"/>
      <c r="F78" s="5"/>
      <c r="G78" s="5">
        <f>SUM(G76:G77)</f>
        <v>0</v>
      </c>
      <c r="H78" s="5">
        <f>SUM(H76:H77)</f>
        <v>0</v>
      </c>
      <c r="I78" s="5">
        <f>SUM(I76:I77)</f>
        <v>0</v>
      </c>
    </row>
    <row r="79" spans="2:6" s="1" customFormat="1" ht="3.75" customHeight="1">
      <c r="B79" s="11"/>
      <c r="E79" s="151"/>
      <c r="F79" s="151"/>
    </row>
    <row r="80" spans="2:8" s="1" customFormat="1" ht="11.25" customHeight="1">
      <c r="B80" s="31" t="s">
        <v>18</v>
      </c>
      <c r="C80" s="538" t="s">
        <v>20</v>
      </c>
      <c r="D80" s="538"/>
      <c r="E80" s="538"/>
      <c r="F80" s="538"/>
      <c r="G80" s="538"/>
      <c r="H80" s="7"/>
    </row>
    <row r="81" spans="1:9" s="1" customFormat="1" ht="11.25" customHeight="1">
      <c r="A81" s="3" t="s">
        <v>35</v>
      </c>
      <c r="B81" s="32" t="s">
        <v>94</v>
      </c>
      <c r="C81" s="39" t="s">
        <v>95</v>
      </c>
      <c r="D81" s="3" t="s">
        <v>48</v>
      </c>
      <c r="E81" s="4">
        <v>8.5</v>
      </c>
      <c r="F81" s="150">
        <v>0</v>
      </c>
      <c r="G81" s="4">
        <f>E81*F81</f>
        <v>0</v>
      </c>
      <c r="H81" s="4">
        <v>0</v>
      </c>
      <c r="I81" s="4">
        <v>0</v>
      </c>
    </row>
    <row r="82" spans="1:9" s="1" customFormat="1" ht="11.25" customHeight="1">
      <c r="A82" s="3" t="s">
        <v>37</v>
      </c>
      <c r="B82" s="32" t="s">
        <v>35</v>
      </c>
      <c r="C82" s="39" t="s">
        <v>154</v>
      </c>
      <c r="D82" s="3" t="s">
        <v>48</v>
      </c>
      <c r="E82" s="4">
        <v>8.5</v>
      </c>
      <c r="F82" s="150">
        <v>0</v>
      </c>
      <c r="G82" s="4">
        <f>E82*F82</f>
        <v>0</v>
      </c>
      <c r="H82" s="4">
        <v>0</v>
      </c>
      <c r="I82" s="4">
        <v>0</v>
      </c>
    </row>
    <row r="83" spans="1:9" s="1" customFormat="1" ht="11.25" customHeight="1">
      <c r="A83" s="3" t="s">
        <v>38</v>
      </c>
      <c r="B83" s="32" t="s">
        <v>37</v>
      </c>
      <c r="C83" s="39" t="s">
        <v>214</v>
      </c>
      <c r="D83" s="3" t="s">
        <v>25</v>
      </c>
      <c r="E83" s="4">
        <v>1</v>
      </c>
      <c r="F83" s="150">
        <v>0</v>
      </c>
      <c r="G83" s="4">
        <f>E83*F83</f>
        <v>0</v>
      </c>
      <c r="H83" s="4">
        <v>0</v>
      </c>
      <c r="I83" s="4">
        <v>0</v>
      </c>
    </row>
    <row r="84" spans="1:9" s="1" customFormat="1" ht="11.25" customHeight="1">
      <c r="A84" s="3" t="s">
        <v>39</v>
      </c>
      <c r="B84" s="32" t="s">
        <v>38</v>
      </c>
      <c r="C84" s="39" t="s">
        <v>164</v>
      </c>
      <c r="D84" s="3" t="s">
        <v>25</v>
      </c>
      <c r="E84" s="4">
        <v>1</v>
      </c>
      <c r="F84" s="150">
        <v>0</v>
      </c>
      <c r="G84" s="4">
        <f>E84*F84</f>
        <v>0</v>
      </c>
      <c r="H84" s="4">
        <v>0</v>
      </c>
      <c r="I84" s="4">
        <v>0</v>
      </c>
    </row>
    <row r="85" spans="2:9" s="1" customFormat="1" ht="11.25" customHeight="1">
      <c r="B85" s="33" t="s">
        <v>18</v>
      </c>
      <c r="C85" s="536" t="s">
        <v>20</v>
      </c>
      <c r="D85" s="536"/>
      <c r="E85" s="536"/>
      <c r="F85" s="150">
        <v>0</v>
      </c>
      <c r="G85" s="5">
        <f>SUM(G81:G84)</f>
        <v>0</v>
      </c>
      <c r="H85" s="5">
        <f>SUM(H81:H84)</f>
        <v>0</v>
      </c>
      <c r="I85" s="5">
        <f>SUM(I81:I84)</f>
        <v>0</v>
      </c>
    </row>
    <row r="86" spans="2:6" s="1" customFormat="1" ht="3" customHeight="1">
      <c r="B86" s="11"/>
      <c r="E86" s="151"/>
      <c r="F86" s="151"/>
    </row>
    <row r="87" spans="2:8" s="1" customFormat="1" ht="11.25" customHeight="1">
      <c r="B87" s="31" t="s">
        <v>21</v>
      </c>
      <c r="C87" s="538" t="s">
        <v>191</v>
      </c>
      <c r="D87" s="538"/>
      <c r="E87" s="538"/>
      <c r="F87" s="538"/>
      <c r="G87" s="538"/>
      <c r="H87" s="7"/>
    </row>
    <row r="88" spans="1:9" s="1" customFormat="1" ht="11.25" customHeight="1">
      <c r="A88" s="3" t="s">
        <v>35</v>
      </c>
      <c r="B88" s="32" t="s">
        <v>109</v>
      </c>
      <c r="C88" s="39" t="s">
        <v>110</v>
      </c>
      <c r="D88" s="3" t="s">
        <v>25</v>
      </c>
      <c r="E88" s="4">
        <v>2</v>
      </c>
      <c r="F88" s="150">
        <v>0</v>
      </c>
      <c r="G88" s="4">
        <f aca="true" t="shared" si="3" ref="G88:G96">E88*F88</f>
        <v>0</v>
      </c>
      <c r="H88" s="4">
        <v>0</v>
      </c>
      <c r="I88" s="4">
        <v>0</v>
      </c>
    </row>
    <row r="89" spans="1:9" s="1" customFormat="1" ht="11.25" customHeight="1">
      <c r="A89" s="3" t="s">
        <v>37</v>
      </c>
      <c r="B89" s="32" t="s">
        <v>111</v>
      </c>
      <c r="C89" s="39" t="s">
        <v>211</v>
      </c>
      <c r="D89" s="3" t="s">
        <v>25</v>
      </c>
      <c r="E89" s="4">
        <v>2</v>
      </c>
      <c r="F89" s="150">
        <v>0</v>
      </c>
      <c r="G89" s="4">
        <f t="shared" si="3"/>
        <v>0</v>
      </c>
      <c r="H89" s="4">
        <v>0</v>
      </c>
      <c r="I89" s="4">
        <v>0</v>
      </c>
    </row>
    <row r="90" spans="1:9" s="1" customFormat="1" ht="11.25" customHeight="1">
      <c r="A90" s="3" t="s">
        <v>38</v>
      </c>
      <c r="B90" s="32" t="s">
        <v>165</v>
      </c>
      <c r="C90" s="39" t="s">
        <v>166</v>
      </c>
      <c r="D90" s="3" t="s">
        <v>25</v>
      </c>
      <c r="E90" s="4">
        <v>2</v>
      </c>
      <c r="F90" s="150">
        <v>0</v>
      </c>
      <c r="G90" s="4">
        <f t="shared" si="3"/>
        <v>0</v>
      </c>
      <c r="H90" s="4">
        <v>0</v>
      </c>
      <c r="I90" s="4">
        <v>0</v>
      </c>
    </row>
    <row r="91" spans="1:9" s="1" customFormat="1" ht="11.25" customHeight="1">
      <c r="A91" s="3" t="s">
        <v>39</v>
      </c>
      <c r="B91" s="32" t="s">
        <v>167</v>
      </c>
      <c r="C91" s="39" t="s">
        <v>215</v>
      </c>
      <c r="D91" s="3" t="s">
        <v>25</v>
      </c>
      <c r="E91" s="4">
        <v>2</v>
      </c>
      <c r="F91" s="150">
        <v>0</v>
      </c>
      <c r="G91" s="4">
        <f t="shared" si="3"/>
        <v>0</v>
      </c>
      <c r="H91" s="4">
        <v>0</v>
      </c>
      <c r="I91" s="4">
        <v>0</v>
      </c>
    </row>
    <row r="92" spans="1:9" s="1" customFormat="1" ht="11.25" customHeight="1">
      <c r="A92" s="3" t="s">
        <v>40</v>
      </c>
      <c r="B92" s="32" t="s">
        <v>132</v>
      </c>
      <c r="C92" s="39" t="s">
        <v>133</v>
      </c>
      <c r="D92" s="3" t="s">
        <v>25</v>
      </c>
      <c r="E92" s="4">
        <v>2</v>
      </c>
      <c r="F92" s="150">
        <v>0</v>
      </c>
      <c r="G92" s="4">
        <f t="shared" si="3"/>
        <v>0</v>
      </c>
      <c r="H92" s="4">
        <v>0</v>
      </c>
      <c r="I92" s="4">
        <v>0</v>
      </c>
    </row>
    <row r="93" spans="1:9" s="1" customFormat="1" ht="11.25" customHeight="1">
      <c r="A93" s="3" t="s">
        <v>41</v>
      </c>
      <c r="B93" s="32" t="s">
        <v>135</v>
      </c>
      <c r="C93" s="39" t="s">
        <v>216</v>
      </c>
      <c r="D93" s="3" t="s">
        <v>25</v>
      </c>
      <c r="E93" s="4">
        <v>2</v>
      </c>
      <c r="F93" s="150">
        <v>0</v>
      </c>
      <c r="G93" s="4">
        <f t="shared" si="3"/>
        <v>0</v>
      </c>
      <c r="H93" s="4">
        <v>0</v>
      </c>
      <c r="I93" s="4">
        <v>0</v>
      </c>
    </row>
    <row r="94" spans="1:9" s="1" customFormat="1" ht="11.25" customHeight="1">
      <c r="A94" s="3" t="s">
        <v>42</v>
      </c>
      <c r="B94" s="32" t="s">
        <v>168</v>
      </c>
      <c r="C94" s="39" t="s">
        <v>169</v>
      </c>
      <c r="D94" s="3" t="s">
        <v>25</v>
      </c>
      <c r="E94" s="4">
        <v>2</v>
      </c>
      <c r="F94" s="150">
        <v>0</v>
      </c>
      <c r="G94" s="4">
        <f t="shared" si="3"/>
        <v>0</v>
      </c>
      <c r="H94" s="4">
        <v>0</v>
      </c>
      <c r="I94" s="4">
        <v>0</v>
      </c>
    </row>
    <row r="95" spans="1:9" s="1" customFormat="1" ht="11.25" customHeight="1">
      <c r="A95" s="3" t="s">
        <v>43</v>
      </c>
      <c r="B95" s="32" t="s">
        <v>170</v>
      </c>
      <c r="C95" s="39" t="s">
        <v>217</v>
      </c>
      <c r="D95" s="3" t="s">
        <v>25</v>
      </c>
      <c r="E95" s="4">
        <v>2</v>
      </c>
      <c r="F95" s="150">
        <v>0</v>
      </c>
      <c r="G95" s="4">
        <f t="shared" si="3"/>
        <v>0</v>
      </c>
      <c r="H95" s="4">
        <v>0</v>
      </c>
      <c r="I95" s="4">
        <v>0</v>
      </c>
    </row>
    <row r="96" spans="1:9" s="1" customFormat="1" ht="11.25" customHeight="1">
      <c r="A96" s="3" t="s">
        <v>44</v>
      </c>
      <c r="B96" s="32" t="s">
        <v>112</v>
      </c>
      <c r="C96" s="39" t="s">
        <v>113</v>
      </c>
      <c r="D96" s="3" t="s">
        <v>25</v>
      </c>
      <c r="E96" s="4">
        <v>2</v>
      </c>
      <c r="F96" s="150">
        <v>0</v>
      </c>
      <c r="G96" s="4">
        <f t="shared" si="3"/>
        <v>0</v>
      </c>
      <c r="H96" s="4">
        <v>0</v>
      </c>
      <c r="I96" s="4">
        <v>0</v>
      </c>
    </row>
    <row r="97" spans="2:9" s="1" customFormat="1" ht="11.25" customHeight="1">
      <c r="B97" s="33" t="s">
        <v>21</v>
      </c>
      <c r="C97" s="536" t="s">
        <v>191</v>
      </c>
      <c r="D97" s="536"/>
      <c r="E97" s="536"/>
      <c r="F97" s="5"/>
      <c r="G97" s="5">
        <f>SUM(G88:G96)</f>
        <v>0</v>
      </c>
      <c r="H97" s="5">
        <f>SUM(H88:H96)</f>
        <v>0</v>
      </c>
      <c r="I97" s="5">
        <f>SUM(I88:I96)</f>
        <v>0</v>
      </c>
    </row>
    <row r="98" spans="2:6" s="1" customFormat="1" ht="3.75" customHeight="1">
      <c r="B98" s="11"/>
      <c r="E98" s="151"/>
      <c r="F98" s="151"/>
    </row>
    <row r="99" spans="2:8" s="1" customFormat="1" ht="11.25" customHeight="1">
      <c r="B99" s="31" t="s">
        <v>22</v>
      </c>
      <c r="C99" s="538" t="s">
        <v>143</v>
      </c>
      <c r="D99" s="538"/>
      <c r="E99" s="538"/>
      <c r="F99" s="538"/>
      <c r="G99" s="538"/>
      <c r="H99" s="7"/>
    </row>
    <row r="100" spans="1:9" s="1" customFormat="1" ht="11.25" customHeight="1">
      <c r="A100" s="3" t="s">
        <v>35</v>
      </c>
      <c r="B100" s="32" t="s">
        <v>155</v>
      </c>
      <c r="C100" s="39" t="s">
        <v>156</v>
      </c>
      <c r="D100" s="3" t="s">
        <v>25</v>
      </c>
      <c r="E100" s="4">
        <v>2</v>
      </c>
      <c r="F100" s="150">
        <v>0</v>
      </c>
      <c r="G100" s="4">
        <f>E100*F100</f>
        <v>0</v>
      </c>
      <c r="H100" s="4">
        <v>0</v>
      </c>
      <c r="I100" s="4">
        <v>0</v>
      </c>
    </row>
    <row r="101" spans="1:9" s="1" customFormat="1" ht="11.25" customHeight="1">
      <c r="A101" s="3" t="s">
        <v>37</v>
      </c>
      <c r="B101" s="32" t="s">
        <v>157</v>
      </c>
      <c r="C101" s="39" t="s">
        <v>171</v>
      </c>
      <c r="D101" s="3" t="s">
        <v>25</v>
      </c>
      <c r="E101" s="4">
        <v>1</v>
      </c>
      <c r="F101" s="150">
        <v>0</v>
      </c>
      <c r="G101" s="4">
        <f>E101*F101</f>
        <v>0</v>
      </c>
      <c r="H101" s="4">
        <v>0</v>
      </c>
      <c r="I101" s="4">
        <v>0</v>
      </c>
    </row>
    <row r="102" spans="2:9" s="1" customFormat="1" ht="11.25" customHeight="1">
      <c r="B102" s="33" t="s">
        <v>22</v>
      </c>
      <c r="C102" s="536" t="s">
        <v>143</v>
      </c>
      <c r="D102" s="536"/>
      <c r="E102" s="536"/>
      <c r="F102" s="5"/>
      <c r="G102" s="5">
        <f>SUM(G100:G101)</f>
        <v>0</v>
      </c>
      <c r="H102" s="5">
        <f>SUM(H100:H101)</f>
        <v>0</v>
      </c>
      <c r="I102" s="5">
        <f>SUM(I100:I101)</f>
        <v>0</v>
      </c>
    </row>
    <row r="103" spans="2:9" s="1" customFormat="1" ht="12" customHeight="1">
      <c r="B103" s="30" t="s">
        <v>160</v>
      </c>
      <c r="C103" s="2" t="s">
        <v>4</v>
      </c>
      <c r="D103" s="561"/>
      <c r="E103" s="561"/>
      <c r="F103" s="6"/>
      <c r="G103" s="6">
        <f>SUM(G73+G78+G85+G97+G102)</f>
        <v>0</v>
      </c>
      <c r="H103" s="6">
        <f>SUM(H73+H78+H85+H97+H102)</f>
        <v>0</v>
      </c>
      <c r="I103" s="6">
        <f>SUM(I73+I78+I85+I97+I102)</f>
        <v>0</v>
      </c>
    </row>
    <row r="104" spans="1:9" s="1" customFormat="1" ht="11.25" customHeight="1">
      <c r="A104" s="26"/>
      <c r="B104" s="41" t="s">
        <v>172</v>
      </c>
      <c r="C104" s="27" t="s">
        <v>4</v>
      </c>
      <c r="D104" s="562"/>
      <c r="E104" s="562"/>
      <c r="F104" s="28"/>
      <c r="G104" s="28">
        <f>SUM(G60+G103)</f>
        <v>0</v>
      </c>
      <c r="H104" s="28">
        <f>SUM(H60+H103)</f>
        <v>0</v>
      </c>
      <c r="I104" s="28">
        <f>SUM(I60+I103)</f>
        <v>0</v>
      </c>
    </row>
    <row r="105" spans="1:9" s="1" customFormat="1" ht="3.75" customHeight="1">
      <c r="A105" s="26"/>
      <c r="B105" s="42"/>
      <c r="C105" s="26"/>
      <c r="D105" s="26"/>
      <c r="E105" s="154"/>
      <c r="F105" s="154"/>
      <c r="G105" s="26"/>
      <c r="H105" s="26"/>
      <c r="I105" s="26"/>
    </row>
  </sheetData>
  <sheetProtection/>
  <mergeCells count="30">
    <mergeCell ref="C7:G7"/>
    <mergeCell ref="A3:A4"/>
    <mergeCell ref="C3:C4"/>
    <mergeCell ref="D3:D4"/>
    <mergeCell ref="E3:E4"/>
    <mergeCell ref="G3:G4"/>
    <mergeCell ref="C55:E55"/>
    <mergeCell ref="C57:G57"/>
    <mergeCell ref="C26:E26"/>
    <mergeCell ref="C28:G28"/>
    <mergeCell ref="C22:E22"/>
    <mergeCell ref="C24:G24"/>
    <mergeCell ref="C78:E78"/>
    <mergeCell ref="C80:G80"/>
    <mergeCell ref="C73:E73"/>
    <mergeCell ref="C75:G75"/>
    <mergeCell ref="C64:G64"/>
    <mergeCell ref="C59:E59"/>
    <mergeCell ref="D60:E60"/>
    <mergeCell ref="C62:G62"/>
    <mergeCell ref="H3:H4"/>
    <mergeCell ref="I3:I4"/>
    <mergeCell ref="A2:B2"/>
    <mergeCell ref="D104:E104"/>
    <mergeCell ref="C102:E102"/>
    <mergeCell ref="D103:E103"/>
    <mergeCell ref="C97:E97"/>
    <mergeCell ref="C99:G99"/>
    <mergeCell ref="C85:E85"/>
    <mergeCell ref="C87:G87"/>
  </mergeCells>
  <printOptions horizontalCentered="1"/>
  <pageMargins left="0.7874015748031497" right="0.7874015748031497" top="0.984251968503937" bottom="0.984251968503937" header="0.5118110236220472" footer="0.5118110236220472"/>
  <pageSetup fitToHeight="2" fitToWidth="1" horizontalDpi="600" verticalDpi="600" orientation="landscape" paperSize="9" scale="82" r:id="rId1"/>
  <rowBreaks count="1" manualBreakCount="1">
    <brk id="61" max="255" man="1"/>
  </rowBreaks>
  <ignoredErrors>
    <ignoredError sqref="A8:B34 A35:B11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dc:creator>
  <cp:keywords/>
  <dc:description/>
  <cp:lastModifiedBy>Šárka</cp:lastModifiedBy>
  <cp:lastPrinted>2017-06-13T05:55:56Z</cp:lastPrinted>
  <dcterms:created xsi:type="dcterms:W3CDTF">2005-10-10T12:06:03Z</dcterms:created>
  <dcterms:modified xsi:type="dcterms:W3CDTF">2017-06-14T14:05:45Z</dcterms:modified>
  <cp:category/>
  <cp:version/>
  <cp:contentType/>
  <cp:contentStatus/>
</cp:coreProperties>
</file>