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Krycí list (3)" sheetId="1" r:id="rId1"/>
    <sheet name="Krycí list MNP" sheetId="2" r:id="rId2"/>
    <sheet name="Nové Hamry - FII1 Odvodnění hři" sheetId="3" state="hidden" r:id="rId3"/>
    <sheet name="121 Nové Hamry - FII2 Závlahy h" sheetId="4" state="hidden" r:id="rId4"/>
    <sheet name="121 Nové Hamry - FIII Opěrná ze" sheetId="5" state="hidden" r:id="rId5"/>
    <sheet name="MNP" sheetId="6" r:id="rId6"/>
    <sheet name="Krycí list VCP 1" sheetId="7" r:id="rId7"/>
    <sheet name="VCP 1" sheetId="8" r:id="rId8"/>
    <sheet name="Krycí list VCP 2" sheetId="9" r:id="rId9"/>
    <sheet name="pramen" sheetId="10" r:id="rId10"/>
    <sheet name="drén" sheetId="11" r:id="rId11"/>
  </sheets>
  <externalReferences>
    <externalReference r:id="rId14"/>
  </externalReferences>
  <definedNames>
    <definedName name="_xlnm.Print_Titles" localSheetId="3">'121 Nové Hamry - FII2 Závlahy h'!$1:$9</definedName>
    <definedName name="_xlnm.Print_Titles" localSheetId="4">'121 Nové Hamry - FIII Opěrná ze'!$1:$9</definedName>
    <definedName name="_xlnm.Print_Titles" localSheetId="2">'Nové Hamry - FII1 Odvodnění hři'!$1:$9</definedName>
  </definedNames>
  <calcPr fullCalcOnLoad="1"/>
</workbook>
</file>

<file path=xl/sharedStrings.xml><?xml version="1.0" encoding="utf-8"?>
<sst xmlns="http://schemas.openxmlformats.org/spreadsheetml/2006/main" count="1182" uniqueCount="376">
  <si>
    <t>ZADÁNÍ S VÝKAZEM VÝMĚR</t>
  </si>
  <si>
    <t>Stavba:   Nové Hamry - FII/1 Odvodnění hřiště</t>
  </si>
  <si>
    <t xml:space="preserve">Objekt:   </t>
  </si>
  <si>
    <t xml:space="preserve">JKSO:   </t>
  </si>
  <si>
    <t>Datum:   13.7.2012</t>
  </si>
  <si>
    <t>P.Č.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</si>
  <si>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</si>
  <si>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</si>
  <si>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</si>
  <si>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</si>
  <si>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</si>
  <si>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</si>
  <si>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</si>
  <si>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</si>
  <si>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</si>
  <si>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</si>
  <si>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</si>
  <si>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</si>
  <si>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</si>
  <si>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</si>
  <si>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</si>
  <si>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</si>
  <si>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</si>
  <si>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</si>
  <si>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</si>
  <si>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119001421</t>
  </si>
  <si>
    <t xml:space="preserve">Dočasné zajištění kabelů a kabelových tratí ze 3 volně ložených kabelů   </t>
  </si>
  <si>
    <t>m</t>
  </si>
  <si>
    <t>132201202</t>
  </si>
  <si>
    <t xml:space="preserve">Hloubení rýh š do 2000 mm v hornině tř. 3 objemu do 1000 m3   </t>
  </si>
  <si>
    <t>m3</t>
  </si>
  <si>
    <t>151101102</t>
  </si>
  <si>
    <t xml:space="preserve">Zřízení příložného pažení a rozepření stěn rýh hl do 4 m   </t>
  </si>
  <si>
    <t>m2</t>
  </si>
  <si>
    <t>151101112</t>
  </si>
  <si>
    <t xml:space="preserve">Odstranění příložného pažení a rozepření stěn rýh hl do 4 m   </t>
  </si>
  <si>
    <t>161101101</t>
  </si>
  <si>
    <t xml:space="preserve">Svislé přemístění výkopku z horniny tř. 1 až 4 hl výkopu do 2,5 m   </t>
  </si>
  <si>
    <t>175101101</t>
  </si>
  <si>
    <t xml:space="preserve">Obsypání potrubí bez prohození sypaniny z hornin tř. 1 až 4 uloženým do 3 m od kraje výkopu   </t>
  </si>
  <si>
    <t>175101109</t>
  </si>
  <si>
    <t xml:space="preserve">Příplatek k obsypání potrubí sypaninou uloženou do 3 m od kraje výkopu za prohození sypaniny   </t>
  </si>
  <si>
    <t xml:space="preserve">Vodorovné konstrukce   </t>
  </si>
  <si>
    <t>271</t>
  </si>
  <si>
    <t>451573111</t>
  </si>
  <si>
    <t xml:space="preserve">Lože pod potrubí otevřený výkop ze štěrkopísku   </t>
  </si>
  <si>
    <t>452311121</t>
  </si>
  <si>
    <t xml:space="preserve">Podkladní desky z betonu prostého tř. C 8/10 otevřený výkop   </t>
  </si>
  <si>
    <t>452351101</t>
  </si>
  <si>
    <t xml:space="preserve">Bednění podkladních desek nebo bloků nebo sedlového lože otevřený výkop   </t>
  </si>
  <si>
    <t>452361111</t>
  </si>
  <si>
    <t xml:space="preserve">Výztuž podkladních desek nebo bloků nebo pražců otevřený výkop z betonářské oceli 10 216   </t>
  </si>
  <si>
    <t>t</t>
  </si>
  <si>
    <t>452386111</t>
  </si>
  <si>
    <t xml:space="preserve">Vyrovnávací prstence z betonu prostého tř. B 7,5 v do 100 mm   </t>
  </si>
  <si>
    <t>kus</t>
  </si>
  <si>
    <t xml:space="preserve">Trubní vedení   </t>
  </si>
  <si>
    <t>871231121</t>
  </si>
  <si>
    <t xml:space="preserve">Montáž potrubí z trubek z tlakového polyetylénu otevřený výkop svařovaných vnější průměr 75mm   </t>
  </si>
  <si>
    <t>286</t>
  </si>
  <si>
    <t>286138110</t>
  </si>
  <si>
    <t xml:space="preserve">potrubí vodovodní PE HD (lPE) 75 x 4,3 mm   </t>
  </si>
  <si>
    <t>871241121</t>
  </si>
  <si>
    <t xml:space="preserve">Montáž potrubí z trubek z tlakového polyetylénu otevřený výkop svařovaných vnější průměr 90 mm   </t>
  </si>
  <si>
    <t>286138120</t>
  </si>
  <si>
    <t xml:space="preserve">potrubí vodovodní PE HD (IPE) 90 x 5,1 mm   </t>
  </si>
  <si>
    <t>871313121</t>
  </si>
  <si>
    <t xml:space="preserve">Montáž potrubí z kanalizačních trub z PVC otevřený výkop sklon do 20 % DN 150   </t>
  </si>
  <si>
    <t>286118460</t>
  </si>
  <si>
    <t xml:space="preserve">trubka kanalizační plastová PP-NG DN 125x2000 mm   </t>
  </si>
  <si>
    <t xml:space="preserve">8,5 * 1,085   </t>
  </si>
  <si>
    <t>871353121</t>
  </si>
  <si>
    <t xml:space="preserve">Montáž potrubí z kanalizačních trub z PVC otevřený výkop sklon do 20 % DN 200   </t>
  </si>
  <si>
    <t>286113190</t>
  </si>
  <si>
    <t xml:space="preserve">trubka kanalizace plastová KGEM-200x3000 mm SN4   </t>
  </si>
  <si>
    <t>877313123</t>
  </si>
  <si>
    <t xml:space="preserve">Montáž tvarovek jednoosých na potrubí z trub z PVC těsněných kroužkem otevřený výkop DN 150   </t>
  </si>
  <si>
    <t>286118720</t>
  </si>
  <si>
    <t xml:space="preserve">oblouk PP-NG 100/30 st.   </t>
  </si>
  <si>
    <t>286110150</t>
  </si>
  <si>
    <t xml:space="preserve">tvarovka přírubová s hrdlem 100 Hawle   </t>
  </si>
  <si>
    <t>877353121</t>
  </si>
  <si>
    <t xml:space="preserve">Montáž tvarovek odbočných na potrubí z trub z PVC těsněných kroužkem otevřený výkop DN 200   </t>
  </si>
  <si>
    <t>286114250</t>
  </si>
  <si>
    <t xml:space="preserve">odbočka NG 125/100 kolmá   </t>
  </si>
  <si>
    <t>891261111</t>
  </si>
  <si>
    <t xml:space="preserve">Montáž vodovodních šoupátek otevřený výkop DN 100   </t>
  </si>
  <si>
    <t>422</t>
  </si>
  <si>
    <t>422211070</t>
  </si>
  <si>
    <t xml:space="preserve">šoupátko Hawle DN100 č.4000   </t>
  </si>
  <si>
    <t>422901020</t>
  </si>
  <si>
    <t xml:space="preserve">zemní souprava Hawle teleskopická   </t>
  </si>
  <si>
    <t>891355111</t>
  </si>
  <si>
    <t xml:space="preserve">Montáž koncových klapek hrdlových DN 200   </t>
  </si>
  <si>
    <t>551</t>
  </si>
  <si>
    <t>551011060</t>
  </si>
  <si>
    <t xml:space="preserve">koncová klapka HL 720 DN200   </t>
  </si>
  <si>
    <t xml:space="preserve">Součástí výtokového ventilu je privzdušňovací a odvzdušňovací ventil, sloužící k zavzdušnění potrubí a zpětný ventil, který zamezuje zpětnému toku vody.   </t>
  </si>
  <si>
    <t>894411131</t>
  </si>
  <si>
    <t xml:space="preserve">Zřízení šachet kanalizačních z betonových dílců na potrubí DN nad 300 do 400 dno beton tř. C 25/30   </t>
  </si>
  <si>
    <t>592</t>
  </si>
  <si>
    <t>592241600</t>
  </si>
  <si>
    <t xml:space="preserve">skruž betonová s ocelová se stupadly +PE povlakem TBS-Q 1000/250/120 SP 100x25x12 cm   </t>
  </si>
  <si>
    <t xml:space="preserve">4 * 1,01   </t>
  </si>
  <si>
    <t>592241670</t>
  </si>
  <si>
    <t xml:space="preserve">skruž betonová přechodová TBR-Q 625/600/120 SP 62,5/100x60x12 cm   </t>
  </si>
  <si>
    <t xml:space="preserve">2 * 1,01   </t>
  </si>
  <si>
    <t>899102111</t>
  </si>
  <si>
    <t xml:space="preserve">Osazení poklopů litinových nebo ocelových včetně rámů hmotnosti nad 50 do 100 kg   </t>
  </si>
  <si>
    <t>552</t>
  </si>
  <si>
    <t>552434440</t>
  </si>
  <si>
    <t xml:space="preserve">poklop kruhový litinový 600 B 125   </t>
  </si>
  <si>
    <t>899401112</t>
  </si>
  <si>
    <t xml:space="preserve">Osazení poklopů litinových šoupátkových   </t>
  </si>
  <si>
    <t>422913520</t>
  </si>
  <si>
    <t xml:space="preserve">poklop litinový šoupátkový   </t>
  </si>
  <si>
    <t>899623131</t>
  </si>
  <si>
    <t xml:space="preserve">Obetonování potrubí nebo zdiva stok betonem prostým tř. C 8/10 otevřený výkop   </t>
  </si>
  <si>
    <t>899643111</t>
  </si>
  <si>
    <t xml:space="preserve">Bednění pro obetonování potrubí otevřený výkop   </t>
  </si>
  <si>
    <t>9</t>
  </si>
  <si>
    <t xml:space="preserve">Ostatní konstrukce a práce-bourání   </t>
  </si>
  <si>
    <t>99</t>
  </si>
  <si>
    <t xml:space="preserve">Přesun hmot   </t>
  </si>
  <si>
    <t>998276101</t>
  </si>
  <si>
    <t xml:space="preserve">Přesun hmot pro trubní vedení z trub z plastických hmot otevřený výkop   </t>
  </si>
  <si>
    <t>PSV</t>
  </si>
  <si>
    <t xml:space="preserve">Práce a dodávky PSV   </t>
  </si>
  <si>
    <t>721</t>
  </si>
  <si>
    <t xml:space="preserve">Zdravotechnika - vnitřní kanalizace   </t>
  </si>
  <si>
    <t>721290112</t>
  </si>
  <si>
    <t xml:space="preserve">Zkouška těsnosti potrubí kanalizace vodou do DN 200   </t>
  </si>
  <si>
    <t xml:space="preserve">Celkem   </t>
  </si>
  <si>
    <t xml:space="preserve">Retenční nádrž pro závlahu z prefa dílců 25 m3   </t>
  </si>
  <si>
    <t>893362000</t>
  </si>
  <si>
    <t xml:space="preserve">(4,20*3,40*3,0)-(3,60*2,80*3,0)   </t>
  </si>
  <si>
    <t xml:space="preserve">Zásyp jam, šachet rýh nebo kolem objektů sypaninou se zhutněním   </t>
  </si>
  <si>
    <t>174101101</t>
  </si>
  <si>
    <t xml:space="preserve">Svislé přemístění výkopku z horniny tř. 1 až 4 hl výkopu do 4 m   </t>
  </si>
  <si>
    <t>161101102</t>
  </si>
  <si>
    <t xml:space="preserve">Odstranění pažení stěn zátažného hl do 4 m   </t>
  </si>
  <si>
    <t>151201211</t>
  </si>
  <si>
    <t xml:space="preserve">(4,20+3,40)*2*3,0   </t>
  </si>
  <si>
    <t xml:space="preserve">Zřízení zátažného pažení stěn výkopu hl do 4 m   </t>
  </si>
  <si>
    <t>151201201</t>
  </si>
  <si>
    <t xml:space="preserve">4,20*3,40*3,0   </t>
  </si>
  <si>
    <t xml:space="preserve">Hloubení jam zapažených v hornině tř. 3 objemu do 100 m3   </t>
  </si>
  <si>
    <t>131201201</t>
  </si>
  <si>
    <t>Stavba:   121 Nové Hamry - FII/2 Závlahy hřiště</t>
  </si>
  <si>
    <t xml:space="preserve">Přesun hmot pro samostatné zdi a valy zděné z cihel, kamene, tvárnic nebo monolitické v do 20 m   </t>
  </si>
  <si>
    <t>998153131</t>
  </si>
  <si>
    <t>015</t>
  </si>
  <si>
    <t xml:space="preserve">Součet   </t>
  </si>
  <si>
    <t xml:space="preserve">Mezisoučet   </t>
  </si>
  <si>
    <t xml:space="preserve">((8,80+8,0)/2+(5,80+5,0)/2)*1,0*1,50   </t>
  </si>
  <si>
    <t xml:space="preserve">((8,80+8,0)/2+(5,80+5,0)/2)*1,50*1,70   </t>
  </si>
  <si>
    <t xml:space="preserve">"opěrná zeď 2"   </t>
  </si>
  <si>
    <t xml:space="preserve">6,0*1,0*1,70   </t>
  </si>
  <si>
    <t xml:space="preserve">((5,20+5,0)/2+(18,0+17,60)/2)*1,50*1,0   </t>
  </si>
  <si>
    <t xml:space="preserve">((5,20+5,0)/2+(18,0+17,60)/2)*1,50*1,70   </t>
  </si>
  <si>
    <t xml:space="preserve">"opěrná zeď 1"   </t>
  </si>
  <si>
    <t xml:space="preserve">Zdivo z lomového kamene do drátěných košů gabionů s urovnáním hran   </t>
  </si>
  <si>
    <t>326214111</t>
  </si>
  <si>
    <t>312</t>
  </si>
  <si>
    <t xml:space="preserve">Svislé a kompletní konstrukce   </t>
  </si>
  <si>
    <t xml:space="preserve">Násyp pod základové konstrukce se zhutněním z drobného kameniva frakce 0 až 4 mm   </t>
  </si>
  <si>
    <t>271562211</t>
  </si>
  <si>
    <t>011</t>
  </si>
  <si>
    <t xml:space="preserve">Zakládání   </t>
  </si>
  <si>
    <t xml:space="preserve">Zásyp jam po pařezech D pařezů do 500 mm   </t>
  </si>
  <si>
    <t>174201202</t>
  </si>
  <si>
    <t xml:space="preserve">Zásyp jam po pařezech D pařezů do 300 mm   </t>
  </si>
  <si>
    <t>174201201</t>
  </si>
  <si>
    <t xml:space="preserve">Poplatek za uložení odpadu ze sypaniny na skládce (skládkovné)   </t>
  </si>
  <si>
    <t>171201211</t>
  </si>
  <si>
    <t xml:space="preserve">Uložení sypaniny na skládky   </t>
  </si>
  <si>
    <t>171201201</t>
  </si>
  <si>
    <t xml:space="preserve">Nakládání výkopku z hornin tř. 1 až 4 do 100 m3   </t>
  </si>
  <si>
    <t>167101101</t>
  </si>
  <si>
    <t xml:space="preserve">Vodorovné přemístění do 10000 m výkopku/sypaniny z horniny tř. 1 až 4   </t>
  </si>
  <si>
    <t>162701105</t>
  </si>
  <si>
    <t xml:space="preserve">Hloubení rýh š do 2000 mm v hornině tř. 3 objemu do 100 m3   </t>
  </si>
  <si>
    <t>132201201</t>
  </si>
  <si>
    <t xml:space="preserve">Odkopávky a prokopávky nezapažené v hornině tř. 3 objem do 1000 m3   </t>
  </si>
  <si>
    <t>122201102</t>
  </si>
  <si>
    <t xml:space="preserve">Odstranění pařezů D do 500 mm   </t>
  </si>
  <si>
    <t>112201102</t>
  </si>
  <si>
    <t xml:space="preserve">Odstranění pařezů D do 300 mm   </t>
  </si>
  <si>
    <t>112201101</t>
  </si>
  <si>
    <t>Datum:   3.7.2012</t>
  </si>
  <si>
    <t>Stavba:   121 Nové Hamry - FIII Opěrná zeď</t>
  </si>
  <si>
    <t>THU</t>
  </si>
  <si>
    <t>Název stavby</t>
  </si>
  <si>
    <t>JKSO</t>
  </si>
  <si>
    <t xml:space="preserve"> </t>
  </si>
  <si>
    <t>Kód stavby</t>
  </si>
  <si>
    <t>110216</t>
  </si>
  <si>
    <t>Název objektu</t>
  </si>
  <si>
    <t>EČO</t>
  </si>
  <si>
    <t>Kód objektu</t>
  </si>
  <si>
    <t>Název části</t>
  </si>
  <si>
    <t>dílčí plnění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</si>
  <si>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</si>
  <si>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</si>
  <si>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</si>
  <si>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</si>
  <si>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</si>
  <si>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</si>
  <si>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</si>
  <si>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</si>
  <si>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</si>
  <si>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VIDEST s.r.o.</t>
  </si>
  <si>
    <t>Rozpočet číslo</t>
  </si>
  <si>
    <t>Zpracoval</t>
  </si>
  <si>
    <t>Dne</t>
  </si>
  <si>
    <t>Marek Čermák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</si>
  <si>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</si>
  <si>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</si>
  <si>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</si>
  <si>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</si>
  <si>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</si>
  <si>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</si>
  <si>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</si>
  <si>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</si>
  <si>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</si>
  <si>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</si>
  <si>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</si>
  <si>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</si>
  <si>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</si>
  <si>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</si>
  <si>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</si>
  <si>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</si>
  <si>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Zařízení staveniště</t>
  </si>
  <si>
    <t>Bez pevné podl.</t>
  </si>
  <si>
    <t>Mimostav. doprava</t>
  </si>
  <si>
    <t>Kulturní památka</t>
  </si>
  <si>
    <t>Geodetické práce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</si>
  <si>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</si>
  <si>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</si>
  <si>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</si>
  <si>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</si>
  <si>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</si>
  <si>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</si>
  <si>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</si>
  <si>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</si>
  <si>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Celkem bez DPH :</t>
  </si>
  <si>
    <t>Datum a podpis</t>
  </si>
  <si>
    <t>Razítko</t>
  </si>
  <si>
    <t>%</t>
  </si>
  <si>
    <t>DPH</t>
  </si>
  <si>
    <t>Cena s DPH (ř. 23-25)</t>
  </si>
  <si>
    <t>Rekonstrukce fotbalového hřiště</t>
  </si>
  <si>
    <t>OÚ Nové Hamry</t>
  </si>
  <si>
    <t>Ing. Hana Čáslavová</t>
  </si>
  <si>
    <t>DSP, PDS</t>
  </si>
  <si>
    <t xml:space="preserve">Pozn. : </t>
  </si>
  <si>
    <t>uvedený výkaz výměr neuvažuje vodorovný přesun výkopku - uvažuje se ponechání na místě - tzv. na odhoz</t>
  </si>
  <si>
    <t>investor zabezpečí vytýčení podzemních sítí dle výkresové části</t>
  </si>
  <si>
    <t>obsypy jsou uvažovány z výkopku dle popisu ve VV</t>
  </si>
  <si>
    <t>uvedený výkaz výměr neuvažuje úpravy rubu opěrné zdi - doporučujeme závažit drenáže popř. gwotextílii</t>
  </si>
  <si>
    <t>položky neobsahují přípravné práce - uvedené je uvažováno ve svépomoci zadavatele</t>
  </si>
  <si>
    <t>položky neobsahují vodorovný přesun výkopku - uvažuje se ponechání na místě</t>
  </si>
  <si>
    <t>uvedené plnění neobsahuje výústní objekt dle PD, ale pouze obetonování výústního potrubí se zaříznutím</t>
  </si>
  <si>
    <t>zkouška těsnosti potrubí je nižší než délka potrubí - zhotovitel uvažuje, poude dílčí informativní zkoušku</t>
  </si>
  <si>
    <t>z výkazu výměr vyplývá pouze dílčí provedení objektu FII oproti podélnému profilu (113 m) - tzn. k retneci s ukončením zátkou</t>
  </si>
  <si>
    <t>z výkazu výměr vyplývá pouze příprava pro závlahy v délce 1 m a uzávěrných armatur</t>
  </si>
  <si>
    <t>Nové Hamry</t>
  </si>
  <si>
    <t>retenční nádrž dle možnosti zhotovitele - typ upřesněn RDS, nutná součinnost projekce pro koordinaci podélných profilů a závlah</t>
  </si>
  <si>
    <t>uvedený výkaz výměr neuvažuje vodorovné přesuny a pokácených stromů - uvažuje se vlastní plnění zadavatele v předstihu</t>
  </si>
  <si>
    <t>Předmětem úpravy nejsou jiné terénní práce či ozelenění popř. úprava koruny OZ</t>
  </si>
  <si>
    <t>dtto revizní šachyt jsou uvažovány pouze 2 ks - taktéž k retenci</t>
  </si>
  <si>
    <t>R pol.</t>
  </si>
  <si>
    <t>trubka kanalizace X treme DN 200 korugovaná</t>
  </si>
  <si>
    <t>Objekt:  úspory plnění - MNP</t>
  </si>
  <si>
    <t>Datum:   1.9.2013</t>
  </si>
  <si>
    <t>Objekt:  Navýšení ceny z důvodu neúplného zadání VŘ - VCP</t>
  </si>
  <si>
    <t>Datum:   1.9.2012</t>
  </si>
  <si>
    <t>trubka kanalizace X treme DN 150 korugovaná</t>
  </si>
  <si>
    <t xml:space="preserve">skruž betonová s ocelová se stupadly +PE povlakem TBS-Q 1000/500/120 </t>
  </si>
  <si>
    <t>Přechodová deska DN 1000</t>
  </si>
  <si>
    <t xml:space="preserve">R </t>
  </si>
  <si>
    <t>Dodávka a montáž potrubí Kopoflex DN 110 - chráničky pro závlahu a elektro (2 x DN 110)</t>
  </si>
  <si>
    <t xml:space="preserve">Lože (obsyp) pod potrubí otevřený výkop ze štěrkopísku   </t>
  </si>
  <si>
    <t>Poznámka: Kopoflex není nutné pokládat - avšak uvedené domluveno s p. starostou na vyžádání pro další koordinaci etapy II - doporučené plnění</t>
  </si>
  <si>
    <t>Odečty</t>
  </si>
  <si>
    <t>Kanalizace</t>
  </si>
  <si>
    <t>9.1.2012</t>
  </si>
  <si>
    <t>Změnový list - doplnění zadání</t>
  </si>
  <si>
    <t>poklop litinový šoupátkový</t>
  </si>
  <si>
    <t>Montáž potrubí z trubek z tlaakového polyetylénu otevřený výkop svařovaných vnější průměr 75mm</t>
  </si>
  <si>
    <t>potrubí vodovodní PE HD (IPE) 75 x 4,3 mm</t>
  </si>
  <si>
    <t>Montáž potrubí z trubek z tlaakového polyetylénu otevřený výkop svařovaných vnější průměr 90mm</t>
  </si>
  <si>
    <t>potrubí vodovodní PE HD (IPE) 90 x 5,1 mm</t>
  </si>
  <si>
    <t>Montáž tvarovek odbočných na potrubí z trub z PVC těsněných kroužkem otevřený výkop DN 200</t>
  </si>
  <si>
    <t>odbočka NG 125/100 kolmá</t>
  </si>
  <si>
    <t>Montáž vodovodních šoupátek otevřený výkop DN 100</t>
  </si>
  <si>
    <t>šoupátko Hawle DN100 č.4000</t>
  </si>
  <si>
    <t>zemní souprava Hawle teleskopická</t>
  </si>
  <si>
    <t>VCP</t>
  </si>
  <si>
    <t>MNP</t>
  </si>
  <si>
    <t>KRYCÍ LIST ROZPOČTU - MNP</t>
  </si>
  <si>
    <t>KRYCÍ LIST ROZPOČTU - VCP</t>
  </si>
  <si>
    <t>KRYCÍ LIST ROZPOČTU - Změnový list</t>
  </si>
  <si>
    <t>Cena celkem bez DPH</t>
  </si>
  <si>
    <t>DPH 21%</t>
  </si>
  <si>
    <t>Cena celkem s DPH</t>
  </si>
  <si>
    <t>Rozdíl</t>
  </si>
  <si>
    <t>KRYCÍ LIST ROZPOČTU</t>
  </si>
  <si>
    <t>Nové Hamry - VCP II</t>
  </si>
  <si>
    <t>130207</t>
  </si>
  <si>
    <t>VCP 2</t>
  </si>
  <si>
    <t>07.02.2013</t>
  </si>
  <si>
    <t>SO č. 2 - pramen</t>
  </si>
  <si>
    <t>SO č. 7 -dopl. drénu</t>
  </si>
  <si>
    <t>E</t>
  </si>
  <si>
    <t>Přípočty a odpočty</t>
  </si>
  <si>
    <t>Dodávky objednatele</t>
  </si>
  <si>
    <t>Klouzavá doložka</t>
  </si>
  <si>
    <t>Zvýhodnění + -</t>
  </si>
  <si>
    <t>ROZPOČET</t>
  </si>
  <si>
    <t>Stavba:</t>
  </si>
  <si>
    <t>Objekt:</t>
  </si>
  <si>
    <t>SO 2 - pramen</t>
  </si>
  <si>
    <t>Část:</t>
  </si>
  <si>
    <t>JKSO:</t>
  </si>
  <si>
    <t>Objednatel:</t>
  </si>
  <si>
    <t>Zhotovitel:</t>
  </si>
  <si>
    <t>Datum:</t>
  </si>
  <si>
    <t>7.2.2013</t>
  </si>
  <si>
    <t>TV</t>
  </si>
  <si>
    <t>Cena jednotková</t>
  </si>
  <si>
    <t>Cena celkem</t>
  </si>
  <si>
    <t>Hmotnost</t>
  </si>
  <si>
    <t>Hmotnost celkem</t>
  </si>
  <si>
    <t>Hmotnost sutě</t>
  </si>
  <si>
    <t>Hmotnost sutě celkem</t>
  </si>
  <si>
    <t>Typ položky</t>
  </si>
  <si>
    <t>Úroveň</t>
  </si>
  <si>
    <t>Práce a dodávky HSV</t>
  </si>
  <si>
    <t>0</t>
  </si>
  <si>
    <t>Zemní práce</t>
  </si>
  <si>
    <t>K</t>
  </si>
  <si>
    <t>132201101</t>
  </si>
  <si>
    <t>Hloubení rýh š do 600 mm v hornině tř. 3 objemu do 100 m3</t>
  </si>
  <si>
    <t>132202101</t>
  </si>
  <si>
    <t>Hloubení rýh š do 600 mm ručním nebo pneum nářadím v soudržných horninách tř. 3</t>
  </si>
  <si>
    <t>Vodorovné přemístěníod do 50 m výkopku z horniny tř. 1 až 4</t>
  </si>
  <si>
    <t>Zásyp jam, šachet rýh nebo kolem objektů sypaninou se zhutněním</t>
  </si>
  <si>
    <t>231</t>
  </si>
  <si>
    <t>182001111</t>
  </si>
  <si>
    <t>Plošná úprava terénu hornina tř 1 až 4 nerovnosti do +/-100 mm v rovinně a svahu do 1:5</t>
  </si>
  <si>
    <t>11</t>
  </si>
  <si>
    <t>002</t>
  </si>
  <si>
    <t>212531111</t>
  </si>
  <si>
    <t>Výplň odvodňovacích trativodů kamenivem hrubým drceným frakce 16 až 63 mm</t>
  </si>
  <si>
    <t>12</t>
  </si>
  <si>
    <t>212532111</t>
  </si>
  <si>
    <t>Lože pro trativody z kameniva hrubého drceného frakce 16 až 32 mm</t>
  </si>
  <si>
    <t>13</t>
  </si>
  <si>
    <t>212755214</t>
  </si>
  <si>
    <t>Trativody z drenážních trubek plastových flexibilních D 100 mm bez lože</t>
  </si>
  <si>
    <t>14</t>
  </si>
  <si>
    <t>15</t>
  </si>
  <si>
    <t>M</t>
  </si>
  <si>
    <t>MAT</t>
  </si>
  <si>
    <t>286113920</t>
  </si>
  <si>
    <t>odbočka kanalizační plastová s hrdlem korugovaná KGEA-150/150/45°</t>
  </si>
  <si>
    <t>16</t>
  </si>
  <si>
    <t>286113921</t>
  </si>
  <si>
    <t>odbočka kanalizační plastová s hrdlem KGEA-150/150 T kus pro napojení drenáže</t>
  </si>
  <si>
    <t>20</t>
  </si>
  <si>
    <t>998312011</t>
  </si>
  <si>
    <t>Přesun hmot pro lesnickotechnické meliorace, hrazení a úpravy bystřin</t>
  </si>
  <si>
    <t>Celkem</t>
  </si>
  <si>
    <t>SO 7 - doplnění drenáží</t>
  </si>
  <si>
    <t>odbočka kanalizační plastová s hrdlem 200/150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</si>
</sst>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###;\-####"/>
    <numFmt numFmtId="169" formatCode="_-* #,##0.0\ &quot;Kč&quot;_-;\-* #,##0.0\ &quot;Kč&quot;_-;_-* &quot;-&quot;??\ &quot;Kč&quot;_-;_-@_-"/>
    <numFmt numFmtId="170" formatCode="0.0%"/>
    <numFmt numFmtId="171" formatCode="_-* #,##0.0\ &quot;Kč&quot;_-;\-* #,##0.0\ &quot;Kč&quot;_-;_-* &quot;-&quot;?\ &quot;Kč&quot;_-;_-@_-"/>
    <numFmt numFmtId="172" formatCode="#,##0.000_ ;\-#,##0.000\ "/>
    <numFmt numFmtId="173" formatCode="#,##0.00\ &quot;Kč&quot;"/>
    <numFmt numFmtId="174" formatCode="#,##0.00\ _K_č"/>
    <numFmt numFmtId="175" formatCode="#,##0.00000;\-#,##0.00000"/>
  </numFmts>
  <fonts count="9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7"/>
      <name val="MS Sans Serif"/>
      <family val="2"/>
    </font>
    <font>
      <i/>
      <sz val="8"/>
      <color indexed="12"/>
      <name val="Arial CE"/>
      <family val="2"/>
    </font>
    <font>
      <sz val="8"/>
      <color indexed="10"/>
      <name val="Arial CE"/>
      <family val="2"/>
    </font>
    <font>
      <i/>
      <sz val="7"/>
      <name val="Arial CE"/>
      <family val="2"/>
    </font>
    <font>
      <b/>
      <u val="single"/>
      <sz val="8"/>
      <color indexed="10"/>
      <name val="Arial CE"/>
      <family val="2"/>
    </font>
    <font>
      <sz val="8"/>
      <color indexed="63"/>
      <name val="Arial CE"/>
      <family val="2"/>
    </font>
    <font>
      <sz val="8"/>
      <color indexed="18"/>
      <name val="Arial CE"/>
      <family val="2"/>
    </font>
    <font>
      <sz val="8"/>
      <color indexed="20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8"/>
      <name val="MS Sans Serif"/>
      <family val="2"/>
    </font>
    <font>
      <u val="single"/>
      <sz val="8"/>
      <name val="MS Sans Serif"/>
      <family val="2"/>
    </font>
    <font>
      <sz val="22.5"/>
      <name val="MS Sans Serif"/>
      <family val="2"/>
    </font>
    <font>
      <sz val="24"/>
      <name val="MS Sans Serif"/>
      <family val="2"/>
    </font>
    <font>
      <b/>
      <sz val="18"/>
      <name val="MS Sans Serif"/>
      <family val="2"/>
    </font>
    <font>
      <sz val="15"/>
      <name val="MS Sans Serif"/>
      <family val="2"/>
    </font>
    <font>
      <sz val="12"/>
      <name val="MS Sans Serif"/>
      <family val="2"/>
    </font>
    <font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b/>
      <sz val="12"/>
      <color indexed="10"/>
      <name val="Arial"/>
      <family val="2"/>
    </font>
    <font>
      <i/>
      <sz val="8"/>
      <color indexed="30"/>
      <name val="Arial CE"/>
      <family val="2"/>
    </font>
    <font>
      <sz val="8"/>
      <color indexed="30"/>
      <name val="Arial CE"/>
      <family val="2"/>
    </font>
    <font>
      <sz val="8"/>
      <color indexed="62"/>
      <name val="MS Sans Serif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 CE"/>
      <family val="2"/>
    </font>
    <font>
      <i/>
      <sz val="8"/>
      <color indexed="10"/>
      <name val="MS Sans Serif"/>
      <family val="2"/>
    </font>
    <font>
      <sz val="8"/>
      <color indexed="9"/>
      <name val="MS Sans Serif"/>
      <family val="2"/>
    </font>
    <font>
      <sz val="10"/>
      <name val="Tahoma"/>
      <family val="2"/>
    </font>
    <font>
      <b/>
      <sz val="18"/>
      <color indexed="10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sz val="14"/>
      <name val="Tahoma"/>
      <family val="2"/>
    </font>
    <font>
      <b/>
      <u val="single"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  <font>
      <sz val="8"/>
      <color rgb="FFFF0000"/>
      <name val="MS Sans Serif"/>
      <family val="2"/>
    </font>
    <font>
      <b/>
      <sz val="12"/>
      <color rgb="FFFF0000"/>
      <name val="Arial"/>
      <family val="2"/>
    </font>
    <font>
      <i/>
      <sz val="8"/>
      <color rgb="FF0070C0"/>
      <name val="Arial CE"/>
      <family val="2"/>
    </font>
    <font>
      <sz val="8"/>
      <color rgb="FF0070C0"/>
      <name val="Arial CE"/>
      <family val="2"/>
    </font>
    <font>
      <sz val="8"/>
      <color theme="0"/>
      <name val="MS Sans Serif"/>
      <family val="2"/>
    </font>
    <font>
      <sz val="8"/>
      <color theme="3" tint="0.39998000860214233"/>
      <name val="MS Sans Serif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 CE"/>
      <family val="2"/>
    </font>
    <font>
      <i/>
      <sz val="8"/>
      <color rgb="FFFF000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 style="medium"/>
      <top style="hair">
        <color indexed="8"/>
      </top>
      <bottom>
        <color indexed="63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/>
      <top/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>
        <color indexed="8"/>
      </right>
      <top style="hair">
        <color indexed="8"/>
      </top>
      <bottom style="double"/>
    </border>
    <border>
      <left/>
      <right/>
      <top style="hair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/>
      <right style="thin">
        <color indexed="8"/>
      </right>
      <top style="hair">
        <color indexed="8"/>
      </top>
      <bottom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5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 wrapText="1"/>
    </xf>
    <xf numFmtId="165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165" fontId="7" fillId="0" borderId="17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165" fontId="8" fillId="0" borderId="20" xfId="0" applyNumberFormat="1" applyFont="1" applyBorder="1" applyAlignment="1">
      <alignment horizontal="right" vertical="center"/>
    </xf>
    <xf numFmtId="166" fontId="8" fillId="0" borderId="20" xfId="0" applyNumberFormat="1" applyFont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165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wrapText="1"/>
    </xf>
    <xf numFmtId="165" fontId="4" fillId="0" borderId="28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166" fontId="4" fillId="0" borderId="29" xfId="0" applyNumberFormat="1" applyFont="1" applyBorder="1" applyAlignment="1">
      <alignment horizontal="right"/>
    </xf>
    <xf numFmtId="166" fontId="4" fillId="0" borderId="30" xfId="0" applyNumberFormat="1" applyFont="1" applyBorder="1" applyAlignment="1">
      <alignment horizontal="right"/>
    </xf>
    <xf numFmtId="166" fontId="4" fillId="0" borderId="31" xfId="0" applyNumberFormat="1" applyFont="1" applyBorder="1" applyAlignment="1">
      <alignment horizontal="right"/>
    </xf>
    <xf numFmtId="0" fontId="4" fillId="35" borderId="12" xfId="0" applyFont="1" applyFill="1" applyBorder="1" applyAlignment="1">
      <alignment horizontal="left" wrapText="1"/>
    </xf>
    <xf numFmtId="166" fontId="10" fillId="0" borderId="18" xfId="0" applyNumberFormat="1" applyFont="1" applyBorder="1" applyAlignment="1">
      <alignment horizontal="right"/>
    </xf>
    <xf numFmtId="166" fontId="10" fillId="0" borderId="17" xfId="0" applyNumberFormat="1" applyFont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0" fontId="10" fillId="0" borderId="17" xfId="0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6" fontId="4" fillId="0" borderId="32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166" fontId="11" fillId="0" borderId="17" xfId="0" applyNumberFormat="1" applyFont="1" applyBorder="1" applyAlignment="1">
      <alignment horizontal="right"/>
    </xf>
    <xf numFmtId="165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right"/>
    </xf>
    <xf numFmtId="166" fontId="10" fillId="0" borderId="30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 wrapText="1"/>
    </xf>
    <xf numFmtId="164" fontId="10" fillId="0" borderId="14" xfId="0" applyNumberFormat="1" applyFont="1" applyBorder="1" applyAlignment="1">
      <alignment horizontal="right"/>
    </xf>
    <xf numFmtId="166" fontId="10" fillId="0" borderId="31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wrapText="1"/>
    </xf>
    <xf numFmtId="164" fontId="10" fillId="0" borderId="11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wrapText="1"/>
    </xf>
    <xf numFmtId="164" fontId="12" fillId="0" borderId="16" xfId="0" applyNumberFormat="1" applyFont="1" applyBorder="1" applyAlignment="1">
      <alignment horizontal="right"/>
    </xf>
    <xf numFmtId="166" fontId="10" fillId="0" borderId="3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right"/>
    </xf>
    <xf numFmtId="166" fontId="87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 vertical="top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0" fontId="14" fillId="0" borderId="40" xfId="0" applyFont="1" applyBorder="1" applyAlignment="1" applyProtection="1">
      <alignment horizontal="left" vertical="center"/>
      <protection/>
    </xf>
    <xf numFmtId="168" fontId="4" fillId="0" borderId="39" xfId="0" applyNumberFormat="1" applyFont="1" applyBorder="1" applyAlignment="1" applyProtection="1">
      <alignment horizontal="righ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168" fontId="4" fillId="0" borderId="42" xfId="0" applyNumberFormat="1" applyFont="1" applyBorder="1" applyAlignment="1" applyProtection="1">
      <alignment horizontal="right" vertical="center"/>
      <protection/>
    </xf>
    <xf numFmtId="168" fontId="4" fillId="0" borderId="0" xfId="0" applyNumberFormat="1" applyFont="1" applyBorder="1" applyAlignment="1" applyProtection="1">
      <alignment horizontal="right" vertical="center"/>
      <protection/>
    </xf>
    <xf numFmtId="0" fontId="4" fillId="0" borderId="42" xfId="0" applyFont="1" applyBorder="1" applyAlignment="1" applyProtection="1">
      <alignment horizontal="left" vertical="top"/>
      <protection/>
    </xf>
    <xf numFmtId="0" fontId="4" fillId="0" borderId="44" xfId="0" applyFont="1" applyBorder="1" applyAlignment="1" applyProtection="1">
      <alignment horizontal="left" vertical="top"/>
      <protection/>
    </xf>
    <xf numFmtId="0" fontId="14" fillId="0" borderId="45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8" fontId="4" fillId="0" borderId="45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68" fontId="4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168" fontId="4" fillId="0" borderId="5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left" vertical="center"/>
      <protection/>
    </xf>
    <xf numFmtId="0" fontId="16" fillId="0" borderId="55" xfId="0" applyFont="1" applyBorder="1" applyAlignment="1" applyProtection="1">
      <alignment horizontal="left" vertical="center"/>
      <protection/>
    </xf>
    <xf numFmtId="0" fontId="14" fillId="0" borderId="56" xfId="0" applyFont="1" applyBorder="1" applyAlignment="1" applyProtection="1">
      <alignment horizontal="left" vertical="center"/>
      <protection/>
    </xf>
    <xf numFmtId="0" fontId="14" fillId="0" borderId="57" xfId="0" applyFont="1" applyBorder="1" applyAlignment="1" applyProtection="1">
      <alignment horizontal="left" vertical="center"/>
      <protection/>
    </xf>
    <xf numFmtId="0" fontId="14" fillId="0" borderId="58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center"/>
      <protection/>
    </xf>
    <xf numFmtId="0" fontId="14" fillId="0" borderId="60" xfId="0" applyFont="1" applyBorder="1" applyAlignment="1" applyProtection="1">
      <alignment horizontal="left" vertical="center"/>
      <protection/>
    </xf>
    <xf numFmtId="0" fontId="14" fillId="0" borderId="61" xfId="0" applyFont="1" applyBorder="1" applyAlignment="1" applyProtection="1">
      <alignment horizontal="left" vertical="center"/>
      <protection/>
    </xf>
    <xf numFmtId="164" fontId="0" fillId="0" borderId="62" xfId="0" applyNumberFormat="1" applyFont="1" applyBorder="1" applyAlignment="1" applyProtection="1">
      <alignment horizontal="right" vertical="center"/>
      <protection/>
    </xf>
    <xf numFmtId="164" fontId="0" fillId="0" borderId="63" xfId="0" applyNumberFormat="1" applyFont="1" applyBorder="1" applyAlignment="1" applyProtection="1">
      <alignment horizontal="right" vertical="center"/>
      <protection/>
    </xf>
    <xf numFmtId="164" fontId="17" fillId="0" borderId="64" xfId="0" applyNumberFormat="1" applyFont="1" applyBorder="1" applyAlignment="1" applyProtection="1">
      <alignment horizontal="right" vertical="center"/>
      <protection/>
    </xf>
    <xf numFmtId="166" fontId="17" fillId="0" borderId="65" xfId="0" applyNumberFormat="1" applyFont="1" applyBorder="1" applyAlignment="1" applyProtection="1">
      <alignment horizontal="right" vertical="center"/>
      <protection/>
    </xf>
    <xf numFmtId="164" fontId="0" fillId="0" borderId="64" xfId="0" applyNumberFormat="1" applyFont="1" applyBorder="1" applyAlignment="1" applyProtection="1">
      <alignment horizontal="right" vertical="center"/>
      <protection/>
    </xf>
    <xf numFmtId="164" fontId="0" fillId="0" borderId="65" xfId="0" applyNumberFormat="1" applyFont="1" applyBorder="1" applyAlignment="1" applyProtection="1">
      <alignment horizontal="right" vertical="center"/>
      <protection/>
    </xf>
    <xf numFmtId="164" fontId="17" fillId="0" borderId="63" xfId="0" applyNumberFormat="1" applyFont="1" applyBorder="1" applyAlignment="1" applyProtection="1">
      <alignment horizontal="right" vertical="center"/>
      <protection/>
    </xf>
    <xf numFmtId="166" fontId="17" fillId="0" borderId="63" xfId="0" applyNumberFormat="1" applyFont="1" applyBorder="1" applyAlignment="1" applyProtection="1">
      <alignment horizontal="right" vertical="center"/>
      <protection/>
    </xf>
    <xf numFmtId="164" fontId="0" fillId="0" borderId="66" xfId="0" applyNumberFormat="1" applyFont="1" applyBorder="1" applyAlignment="1" applyProtection="1">
      <alignment horizontal="right" vertical="center"/>
      <protection/>
    </xf>
    <xf numFmtId="0" fontId="16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 applyProtection="1">
      <alignment horizontal="left" vertical="center"/>
      <protection/>
    </xf>
    <xf numFmtId="0" fontId="18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67" xfId="0" applyFont="1" applyBorder="1" applyAlignment="1" applyProtection="1">
      <alignment horizontal="left" vertical="center"/>
      <protection/>
    </xf>
    <xf numFmtId="0" fontId="18" fillId="0" borderId="6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168" fontId="14" fillId="0" borderId="69" xfId="0" applyNumberFormat="1" applyFont="1" applyBorder="1" applyAlignment="1" applyProtection="1">
      <alignment horizontal="center" vertical="center"/>
      <protection/>
    </xf>
    <xf numFmtId="169" fontId="17" fillId="0" borderId="48" xfId="38" applyNumberFormat="1" applyFont="1" applyBorder="1" applyAlignment="1" applyProtection="1">
      <alignment horizontal="right" vertical="center"/>
      <protection/>
    </xf>
    <xf numFmtId="0" fontId="14" fillId="0" borderId="70" xfId="0" applyFont="1" applyBorder="1" applyAlignment="1" applyProtection="1">
      <alignment horizontal="left" vertical="center"/>
      <protection/>
    </xf>
    <xf numFmtId="168" fontId="14" fillId="0" borderId="71" xfId="0" applyNumberFormat="1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44" fontId="0" fillId="0" borderId="48" xfId="38" applyFont="1" applyBorder="1" applyAlignment="1" applyProtection="1">
      <alignment horizontal="righ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44" fontId="17" fillId="0" borderId="48" xfId="38" applyFont="1" applyBorder="1" applyAlignment="1" applyProtection="1">
      <alignment horizontal="right" vertical="center"/>
      <protection/>
    </xf>
    <xf numFmtId="0" fontId="14" fillId="0" borderId="72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169" fontId="4" fillId="0" borderId="48" xfId="38" applyNumberFormat="1" applyFont="1" applyBorder="1" applyAlignment="1" applyProtection="1">
      <alignment horizontal="center" vertical="center" wrapText="1"/>
      <protection/>
    </xf>
    <xf numFmtId="168" fontId="14" fillId="0" borderId="73" xfId="0" applyNumberFormat="1" applyFont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left" vertical="center"/>
      <protection/>
    </xf>
    <xf numFmtId="169" fontId="17" fillId="0" borderId="74" xfId="38" applyNumberFormat="1" applyFont="1" applyBorder="1" applyAlignment="1" applyProtection="1">
      <alignment horizontal="right" vertical="center"/>
      <protection/>
    </xf>
    <xf numFmtId="0" fontId="14" fillId="0" borderId="75" xfId="0" applyFont="1" applyBorder="1" applyAlignment="1" applyProtection="1">
      <alignment horizontal="left" vertical="center"/>
      <protection/>
    </xf>
    <xf numFmtId="44" fontId="0" fillId="0" borderId="74" xfId="38" applyFont="1" applyBorder="1" applyAlignment="1" applyProtection="1">
      <alignment horizontal="right" vertical="center"/>
      <protection/>
    </xf>
    <xf numFmtId="164" fontId="0" fillId="0" borderId="75" xfId="0" applyNumberFormat="1" applyFont="1" applyBorder="1" applyAlignment="1" applyProtection="1">
      <alignment horizontal="right" vertical="center"/>
      <protection/>
    </xf>
    <xf numFmtId="0" fontId="19" fillId="0" borderId="38" xfId="0" applyFont="1" applyBorder="1" applyAlignment="1" applyProtection="1">
      <alignment horizontal="left" vertical="center"/>
      <protection/>
    </xf>
    <xf numFmtId="44" fontId="17" fillId="0" borderId="74" xfId="38" applyFont="1" applyBorder="1" applyAlignment="1" applyProtection="1">
      <alignment horizontal="right" vertical="center"/>
      <protection/>
    </xf>
    <xf numFmtId="168" fontId="14" fillId="0" borderId="76" xfId="0" applyNumberFormat="1" applyFont="1" applyBorder="1" applyAlignment="1" applyProtection="1">
      <alignment horizontal="center" vertical="center"/>
      <protection/>
    </xf>
    <xf numFmtId="0" fontId="14" fillId="0" borderId="65" xfId="0" applyFont="1" applyBorder="1" applyAlignment="1" applyProtection="1">
      <alignment horizontal="left" vertical="center"/>
      <protection/>
    </xf>
    <xf numFmtId="0" fontId="14" fillId="0" borderId="63" xfId="0" applyFont="1" applyBorder="1" applyAlignment="1" applyProtection="1">
      <alignment horizontal="left" vertical="center"/>
      <protection/>
    </xf>
    <xf numFmtId="0" fontId="14" fillId="0" borderId="64" xfId="0" applyFont="1" applyBorder="1" applyAlignment="1" applyProtection="1">
      <alignment horizontal="left" vertical="center"/>
      <protection/>
    </xf>
    <xf numFmtId="169" fontId="17" fillId="0" borderId="77" xfId="38" applyNumberFormat="1" applyFont="1" applyBorder="1" applyAlignment="1" applyProtection="1">
      <alignment horizontal="right" vertical="center"/>
      <protection/>
    </xf>
    <xf numFmtId="0" fontId="14" fillId="0" borderId="78" xfId="0" applyFont="1" applyBorder="1" applyAlignment="1" applyProtection="1">
      <alignment horizontal="left" vertical="center"/>
      <protection/>
    </xf>
    <xf numFmtId="168" fontId="14" fillId="0" borderId="79" xfId="0" applyNumberFormat="1" applyFont="1" applyBorder="1" applyAlignment="1" applyProtection="1">
      <alignment horizontal="center" vertical="center"/>
      <protection/>
    </xf>
    <xf numFmtId="44" fontId="17" fillId="0" borderId="55" xfId="38" applyFont="1" applyBorder="1" applyAlignment="1" applyProtection="1">
      <alignment horizontal="right" vertical="center"/>
      <protection/>
    </xf>
    <xf numFmtId="164" fontId="21" fillId="0" borderId="52" xfId="0" applyNumberFormat="1" applyFont="1" applyBorder="1" applyAlignment="1" applyProtection="1">
      <alignment horizontal="right" vertical="center"/>
      <protection/>
    </xf>
    <xf numFmtId="44" fontId="17" fillId="0" borderId="77" xfId="38" applyFont="1" applyBorder="1" applyAlignment="1" applyProtection="1">
      <alignment horizontal="right" vertical="center"/>
      <protection/>
    </xf>
    <xf numFmtId="0" fontId="16" fillId="0" borderId="34" xfId="0" applyFont="1" applyBorder="1" applyAlignment="1" applyProtection="1">
      <alignment horizontal="left" vertical="top"/>
      <protection/>
    </xf>
    <xf numFmtId="0" fontId="14" fillId="0" borderId="80" xfId="0" applyFont="1" applyBorder="1" applyAlignment="1" applyProtection="1">
      <alignment horizontal="left" vertical="center"/>
      <protection/>
    </xf>
    <xf numFmtId="0" fontId="14" fillId="0" borderId="81" xfId="0" applyFont="1" applyBorder="1" applyAlignment="1" applyProtection="1">
      <alignment horizontal="left" vertical="center"/>
      <protection/>
    </xf>
    <xf numFmtId="0" fontId="18" fillId="0" borderId="82" xfId="0" applyFont="1" applyBorder="1" applyAlignment="1" applyProtection="1">
      <alignment horizontal="left" vertical="center"/>
      <protection/>
    </xf>
    <xf numFmtId="0" fontId="16" fillId="0" borderId="81" xfId="0" applyFont="1" applyBorder="1" applyAlignment="1" applyProtection="1">
      <alignment horizontal="left" vertical="center"/>
      <protection/>
    </xf>
    <xf numFmtId="44" fontId="14" fillId="0" borderId="35" xfId="38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168" fontId="14" fillId="36" borderId="83" xfId="0" applyNumberFormat="1" applyFont="1" applyFill="1" applyBorder="1" applyAlignment="1" applyProtection="1">
      <alignment horizontal="center" vertical="center"/>
      <protection/>
    </xf>
    <xf numFmtId="0" fontId="16" fillId="36" borderId="84" xfId="0" applyFont="1" applyFill="1" applyBorder="1" applyAlignment="1" applyProtection="1">
      <alignment horizontal="left" vertical="center"/>
      <protection/>
    </xf>
    <xf numFmtId="0" fontId="16" fillId="36" borderId="85" xfId="0" applyFont="1" applyFill="1" applyBorder="1" applyAlignment="1" applyProtection="1">
      <alignment horizontal="left" vertical="center"/>
      <protection/>
    </xf>
    <xf numFmtId="0" fontId="16" fillId="36" borderId="86" xfId="0" applyFont="1" applyFill="1" applyBorder="1" applyAlignment="1" applyProtection="1">
      <alignment horizontal="left" vertical="center"/>
      <protection/>
    </xf>
    <xf numFmtId="44" fontId="22" fillId="36" borderId="87" xfId="38" applyFont="1" applyFill="1" applyBorder="1" applyAlignment="1" applyProtection="1">
      <alignment horizontal="right" vertical="center"/>
      <protection/>
    </xf>
    <xf numFmtId="0" fontId="14" fillId="36" borderId="88" xfId="0" applyFont="1" applyFill="1" applyBorder="1" applyAlignment="1" applyProtection="1">
      <alignment horizontal="left" vertical="center"/>
      <protection/>
    </xf>
    <xf numFmtId="0" fontId="14" fillId="0" borderId="89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168" fontId="14" fillId="0" borderId="90" xfId="0" applyNumberFormat="1" applyFont="1" applyBorder="1" applyAlignment="1" applyProtection="1">
      <alignment horizontal="center" vertical="center"/>
      <protection/>
    </xf>
    <xf numFmtId="164" fontId="4" fillId="0" borderId="44" xfId="0" applyNumberFormat="1" applyFont="1" applyBorder="1" applyAlignment="1" applyProtection="1">
      <alignment horizontal="right" vertical="center"/>
      <protection/>
    </xf>
    <xf numFmtId="166" fontId="4" fillId="0" borderId="44" xfId="0" applyNumberFormat="1" applyFont="1" applyBorder="1" applyAlignment="1" applyProtection="1">
      <alignment horizontal="right" vertical="center"/>
      <protection/>
    </xf>
    <xf numFmtId="169" fontId="17" fillId="0" borderId="44" xfId="38" applyNumberFormat="1" applyFont="1" applyBorder="1" applyAlignment="1" applyProtection="1">
      <alignment horizontal="right" vertical="center"/>
      <protection/>
    </xf>
    <xf numFmtId="0" fontId="14" fillId="0" borderId="91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top"/>
      <protection/>
    </xf>
    <xf numFmtId="0" fontId="14" fillId="0" borderId="38" xfId="0" applyFont="1" applyBorder="1" applyAlignment="1" applyProtection="1">
      <alignment horizontal="left" vertical="center"/>
      <protection/>
    </xf>
    <xf numFmtId="168" fontId="14" fillId="0" borderId="9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right" vertical="center"/>
      <protection/>
    </xf>
    <xf numFmtId="166" fontId="4" fillId="0" borderId="38" xfId="0" applyNumberFormat="1" applyFont="1" applyBorder="1" applyAlignment="1" applyProtection="1">
      <alignment horizontal="right" vertical="center"/>
      <protection/>
    </xf>
    <xf numFmtId="169" fontId="17" fillId="0" borderId="38" xfId="38" applyNumberFormat="1" applyFont="1" applyBorder="1" applyAlignment="1" applyProtection="1">
      <alignment horizontal="right" vertical="center"/>
      <protection/>
    </xf>
    <xf numFmtId="0" fontId="14" fillId="0" borderId="94" xfId="0" applyFont="1" applyBorder="1" applyAlignment="1" applyProtection="1">
      <alignment horizontal="left" vertical="center"/>
      <protection/>
    </xf>
    <xf numFmtId="168" fontId="14" fillId="0" borderId="83" xfId="0" applyNumberFormat="1" applyFont="1" applyBorder="1" applyAlignment="1" applyProtection="1">
      <alignment horizontal="center" vertical="center"/>
      <protection/>
    </xf>
    <xf numFmtId="0" fontId="16" fillId="0" borderId="84" xfId="0" applyFont="1" applyBorder="1" applyAlignment="1" applyProtection="1">
      <alignment horizontal="left" vertical="center"/>
      <protection/>
    </xf>
    <xf numFmtId="0" fontId="14" fillId="0" borderId="85" xfId="0" applyFont="1" applyBorder="1" applyAlignment="1" applyProtection="1">
      <alignment horizontal="left" vertical="center"/>
      <protection/>
    </xf>
    <xf numFmtId="0" fontId="14" fillId="0" borderId="95" xfId="0" applyFont="1" applyBorder="1" applyAlignment="1" applyProtection="1">
      <alignment horizontal="left" vertical="center"/>
      <protection/>
    </xf>
    <xf numFmtId="169" fontId="22" fillId="0" borderId="96" xfId="38" applyNumberFormat="1" applyFont="1" applyBorder="1" applyAlignment="1" applyProtection="1">
      <alignment horizontal="right" vertical="center"/>
      <protection/>
    </xf>
    <xf numFmtId="0" fontId="14" fillId="0" borderId="88" xfId="0" applyFont="1" applyBorder="1" applyAlignment="1" applyProtection="1">
      <alignment horizontal="left" vertical="center"/>
      <protection/>
    </xf>
    <xf numFmtId="0" fontId="14" fillId="0" borderId="97" xfId="0" applyFont="1" applyBorder="1" applyAlignment="1" applyProtection="1">
      <alignment horizontal="left"/>
      <protection/>
    </xf>
    <xf numFmtId="0" fontId="14" fillId="0" borderId="98" xfId="0" applyFont="1" applyBorder="1" applyAlignment="1" applyProtection="1">
      <alignment horizontal="left" vertical="center"/>
      <protection/>
    </xf>
    <xf numFmtId="0" fontId="14" fillId="0" borderId="99" xfId="0" applyFont="1" applyBorder="1" applyAlignment="1" applyProtection="1">
      <alignment horizontal="left" vertical="center"/>
      <protection/>
    </xf>
    <xf numFmtId="0" fontId="14" fillId="0" borderId="100" xfId="0" applyFont="1" applyBorder="1" applyAlignment="1" applyProtection="1">
      <alignment horizontal="left"/>
      <protection/>
    </xf>
    <xf numFmtId="166" fontId="0" fillId="0" borderId="0" xfId="0" applyNumberFormat="1" applyFont="1" applyAlignment="1">
      <alignment horizontal="right" vertical="top"/>
    </xf>
    <xf numFmtId="0" fontId="88" fillId="0" borderId="0" xfId="0" applyFont="1" applyAlignment="1">
      <alignment horizontal="left" vertical="top" wrapText="1"/>
    </xf>
    <xf numFmtId="165" fontId="88" fillId="0" borderId="0" xfId="0" applyNumberFormat="1" applyFont="1" applyAlignment="1">
      <alignment horizontal="right" vertical="top"/>
    </xf>
    <xf numFmtId="166" fontId="88" fillId="0" borderId="0" xfId="0" applyNumberFormat="1" applyFont="1" applyAlignment="1">
      <alignment horizontal="right" vertical="top"/>
    </xf>
    <xf numFmtId="0" fontId="89" fillId="0" borderId="101" xfId="0" applyFont="1" applyBorder="1" applyAlignment="1" applyProtection="1">
      <alignment horizontal="left" vertical="center"/>
      <protection/>
    </xf>
    <xf numFmtId="0" fontId="88" fillId="0" borderId="0" xfId="0" applyFont="1" applyAlignment="1">
      <alignment horizontal="left" vertical="top" wrapText="1"/>
    </xf>
    <xf numFmtId="164" fontId="4" fillId="0" borderId="102" xfId="0" applyNumberFormat="1" applyFont="1" applyBorder="1" applyAlignment="1">
      <alignment horizontal="right"/>
    </xf>
    <xf numFmtId="0" fontId="4" fillId="0" borderId="103" xfId="0" applyFont="1" applyBorder="1" applyAlignment="1">
      <alignment horizontal="left" wrapText="1"/>
    </xf>
    <xf numFmtId="165" fontId="4" fillId="0" borderId="103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4" fontId="4" fillId="0" borderId="104" xfId="0" applyNumberFormat="1" applyFont="1" applyBorder="1" applyAlignment="1">
      <alignment horizontal="right"/>
    </xf>
    <xf numFmtId="0" fontId="4" fillId="0" borderId="105" xfId="0" applyFont="1" applyBorder="1" applyAlignment="1">
      <alignment horizontal="left" wrapText="1"/>
    </xf>
    <xf numFmtId="165" fontId="4" fillId="0" borderId="105" xfId="0" applyNumberFormat="1" applyFont="1" applyBorder="1" applyAlignment="1">
      <alignment horizontal="right"/>
    </xf>
    <xf numFmtId="164" fontId="4" fillId="0" borderId="106" xfId="0" applyNumberFormat="1" applyFont="1" applyBorder="1" applyAlignment="1">
      <alignment horizontal="right"/>
    </xf>
    <xf numFmtId="0" fontId="4" fillId="0" borderId="107" xfId="0" applyFont="1" applyBorder="1" applyAlignment="1">
      <alignment horizontal="left" wrapText="1"/>
    </xf>
    <xf numFmtId="165" fontId="4" fillId="0" borderId="107" xfId="0" applyNumberFormat="1" applyFont="1" applyBorder="1" applyAlignment="1">
      <alignment horizontal="right"/>
    </xf>
    <xf numFmtId="164" fontId="6" fillId="0" borderId="108" xfId="0" applyNumberFormat="1" applyFont="1" applyBorder="1" applyAlignment="1">
      <alignment horizontal="right"/>
    </xf>
    <xf numFmtId="0" fontId="6" fillId="0" borderId="109" xfId="0" applyFont="1" applyBorder="1" applyAlignment="1">
      <alignment horizontal="left" wrapText="1"/>
    </xf>
    <xf numFmtId="165" fontId="6" fillId="0" borderId="109" xfId="0" applyNumberFormat="1" applyFont="1" applyBorder="1" applyAlignment="1">
      <alignment horizontal="right"/>
    </xf>
    <xf numFmtId="164" fontId="4" fillId="0" borderId="108" xfId="0" applyNumberFormat="1" applyFont="1" applyBorder="1" applyAlignment="1">
      <alignment horizontal="right"/>
    </xf>
    <xf numFmtId="0" fontId="4" fillId="0" borderId="109" xfId="0" applyFont="1" applyBorder="1" applyAlignment="1">
      <alignment horizontal="left" wrapText="1"/>
    </xf>
    <xf numFmtId="165" fontId="4" fillId="0" borderId="109" xfId="0" applyNumberFormat="1" applyFont="1" applyBorder="1" applyAlignment="1">
      <alignment horizontal="right"/>
    </xf>
    <xf numFmtId="164" fontId="4" fillId="0" borderId="110" xfId="0" applyNumberFormat="1" applyFont="1" applyBorder="1" applyAlignment="1">
      <alignment horizontal="right"/>
    </xf>
    <xf numFmtId="0" fontId="4" fillId="0" borderId="111" xfId="0" applyFont="1" applyBorder="1" applyAlignment="1">
      <alignment horizontal="left" wrapText="1"/>
    </xf>
    <xf numFmtId="165" fontId="4" fillId="0" borderId="111" xfId="0" applyNumberFormat="1" applyFont="1" applyBorder="1" applyAlignment="1">
      <alignment horizontal="right"/>
    </xf>
    <xf numFmtId="0" fontId="88" fillId="0" borderId="0" xfId="0" applyFont="1" applyAlignment="1">
      <alignment horizontal="left" vertical="top"/>
    </xf>
    <xf numFmtId="167" fontId="0" fillId="0" borderId="0" xfId="0" applyNumberFormat="1" applyAlignment="1">
      <alignment horizontal="left" vertical="top"/>
    </xf>
    <xf numFmtId="44" fontId="3" fillId="0" borderId="0" xfId="38" applyFont="1" applyAlignment="1">
      <alignment horizontal="right"/>
    </xf>
    <xf numFmtId="44" fontId="4" fillId="0" borderId="18" xfId="38" applyFont="1" applyBorder="1" applyAlignment="1">
      <alignment horizontal="right"/>
    </xf>
    <xf numFmtId="44" fontId="9" fillId="0" borderId="0" xfId="38" applyFont="1" applyAlignment="1">
      <alignment horizontal="right"/>
    </xf>
    <xf numFmtId="44" fontId="4" fillId="0" borderId="24" xfId="38" applyFont="1" applyBorder="1" applyAlignment="1">
      <alignment horizontal="right"/>
    </xf>
    <xf numFmtId="44" fontId="4" fillId="0" borderId="26" xfId="38" applyFont="1" applyBorder="1" applyAlignment="1">
      <alignment horizontal="right"/>
    </xf>
    <xf numFmtId="44" fontId="4" fillId="0" borderId="29" xfId="38" applyFont="1" applyBorder="1" applyAlignment="1">
      <alignment horizontal="right"/>
    </xf>
    <xf numFmtId="44" fontId="4" fillId="0" borderId="112" xfId="38" applyFont="1" applyBorder="1" applyAlignment="1">
      <alignment horizontal="right"/>
    </xf>
    <xf numFmtId="44" fontId="4" fillId="0" borderId="17" xfId="38" applyFont="1" applyBorder="1" applyAlignment="1">
      <alignment horizontal="right"/>
    </xf>
    <xf numFmtId="44" fontId="4" fillId="0" borderId="111" xfId="38" applyFont="1" applyBorder="1" applyAlignment="1">
      <alignment horizontal="right"/>
    </xf>
    <xf numFmtId="44" fontId="6" fillId="0" borderId="113" xfId="38" applyFont="1" applyBorder="1" applyAlignment="1">
      <alignment horizontal="right"/>
    </xf>
    <xf numFmtId="44" fontId="4" fillId="0" borderId="105" xfId="38" applyFont="1" applyBorder="1" applyAlignment="1">
      <alignment horizontal="right"/>
    </xf>
    <xf numFmtId="44" fontId="4" fillId="0" borderId="114" xfId="38" applyFont="1" applyBorder="1" applyAlignment="1">
      <alignment horizontal="right"/>
    </xf>
    <xf numFmtId="44" fontId="4" fillId="0" borderId="23" xfId="38" applyFont="1" applyBorder="1" applyAlignment="1">
      <alignment horizontal="right"/>
    </xf>
    <xf numFmtId="44" fontId="4" fillId="0" borderId="13" xfId="38" applyFont="1" applyBorder="1" applyAlignment="1">
      <alignment horizontal="right"/>
    </xf>
    <xf numFmtId="44" fontId="4" fillId="0" borderId="28" xfId="38" applyFont="1" applyBorder="1" applyAlignment="1">
      <alignment horizontal="right"/>
    </xf>
    <xf numFmtId="44" fontId="4" fillId="0" borderId="107" xfId="38" applyFont="1" applyBorder="1" applyAlignment="1">
      <alignment horizontal="right"/>
    </xf>
    <xf numFmtId="44" fontId="4" fillId="0" borderId="115" xfId="38" applyFont="1" applyBorder="1" applyAlignment="1">
      <alignment horizontal="right"/>
    </xf>
    <xf numFmtId="44" fontId="6" fillId="0" borderId="109" xfId="38" applyFont="1" applyBorder="1" applyAlignment="1">
      <alignment horizontal="right"/>
    </xf>
    <xf numFmtId="44" fontId="6" fillId="0" borderId="116" xfId="38" applyFont="1" applyBorder="1" applyAlignment="1">
      <alignment horizontal="right"/>
    </xf>
    <xf numFmtId="44" fontId="4" fillId="0" borderId="109" xfId="38" applyFont="1" applyBorder="1" applyAlignment="1">
      <alignment horizontal="right"/>
    </xf>
    <xf numFmtId="44" fontId="4" fillId="0" borderId="116" xfId="38" applyFont="1" applyBorder="1" applyAlignment="1">
      <alignment horizontal="right"/>
    </xf>
    <xf numFmtId="49" fontId="4" fillId="0" borderId="47" xfId="0" applyNumberFormat="1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top"/>
      <protection/>
    </xf>
    <xf numFmtId="44" fontId="0" fillId="0" borderId="0" xfId="0" applyNumberFormat="1" applyAlignment="1" applyProtection="1">
      <alignment horizontal="left" vertical="top"/>
      <protection/>
    </xf>
    <xf numFmtId="164" fontId="6" fillId="0" borderId="117" xfId="0" applyNumberFormat="1" applyFont="1" applyBorder="1" applyAlignment="1">
      <alignment horizontal="right"/>
    </xf>
    <xf numFmtId="0" fontId="6" fillId="0" borderId="117" xfId="0" applyFont="1" applyBorder="1" applyAlignment="1">
      <alignment horizontal="left" wrapText="1"/>
    </xf>
    <xf numFmtId="165" fontId="6" fillId="0" borderId="117" xfId="0" applyNumberFormat="1" applyFont="1" applyBorder="1" applyAlignment="1">
      <alignment horizontal="right"/>
    </xf>
    <xf numFmtId="166" fontId="6" fillId="0" borderId="117" xfId="0" applyNumberFormat="1" applyFont="1" applyBorder="1" applyAlignment="1">
      <alignment horizontal="right"/>
    </xf>
    <xf numFmtId="44" fontId="4" fillId="0" borderId="117" xfId="38" applyFont="1" applyBorder="1" applyAlignment="1">
      <alignment horizontal="right"/>
    </xf>
    <xf numFmtId="44" fontId="4" fillId="0" borderId="31" xfId="38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165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44" fontId="6" fillId="0" borderId="32" xfId="38" applyFont="1" applyBorder="1" applyAlignment="1">
      <alignment horizontal="right"/>
    </xf>
    <xf numFmtId="44" fontId="4" fillId="0" borderId="32" xfId="38" applyFont="1" applyBorder="1" applyAlignment="1">
      <alignment horizontal="right"/>
    </xf>
    <xf numFmtId="0" fontId="0" fillId="0" borderId="0" xfId="0" applyFill="1" applyAlignment="1">
      <alignment horizontal="left" vertical="top"/>
    </xf>
    <xf numFmtId="44" fontId="0" fillId="0" borderId="0" xfId="0" applyNumberFormat="1" applyAlignment="1">
      <alignment horizontal="left" vertical="top"/>
    </xf>
    <xf numFmtId="169" fontId="0" fillId="0" borderId="0" xfId="0" applyNumberForma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44" fontId="0" fillId="0" borderId="0" xfId="0" applyNumberFormat="1" applyFont="1" applyBorder="1" applyAlignment="1" applyProtection="1">
      <alignment horizontal="left" vertical="top"/>
      <protection/>
    </xf>
    <xf numFmtId="173" fontId="0" fillId="0" borderId="0" xfId="0" applyNumberFormat="1" applyAlignment="1" applyProtection="1">
      <alignment horizontal="left" vertical="top"/>
      <protection/>
    </xf>
    <xf numFmtId="0" fontId="25" fillId="0" borderId="0" xfId="0" applyFont="1" applyBorder="1" applyAlignment="1" applyProtection="1">
      <alignment horizontal="left" vertical="top"/>
      <protection/>
    </xf>
    <xf numFmtId="165" fontId="4" fillId="0" borderId="109" xfId="0" applyNumberFormat="1" applyFont="1" applyFill="1" applyBorder="1" applyAlignment="1">
      <alignment horizontal="right"/>
    </xf>
    <xf numFmtId="165" fontId="6" fillId="0" borderId="109" xfId="0" applyNumberFormat="1" applyFont="1" applyFill="1" applyBorder="1" applyAlignment="1">
      <alignment horizontal="right"/>
    </xf>
    <xf numFmtId="164" fontId="6" fillId="0" borderId="3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165" fontId="6" fillId="0" borderId="13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44" fontId="4" fillId="0" borderId="32" xfId="38" applyFont="1" applyFill="1" applyBorder="1" applyAlignment="1">
      <alignment horizontal="right"/>
    </xf>
    <xf numFmtId="164" fontId="23" fillId="0" borderId="3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left" wrapText="1"/>
    </xf>
    <xf numFmtId="165" fontId="23" fillId="0" borderId="13" xfId="0" applyNumberFormat="1" applyFont="1" applyFill="1" applyBorder="1" applyAlignment="1">
      <alignment horizontal="right"/>
    </xf>
    <xf numFmtId="166" fontId="23" fillId="0" borderId="13" xfId="0" applyNumberFormat="1" applyFont="1" applyFill="1" applyBorder="1" applyAlignment="1">
      <alignment horizontal="right"/>
    </xf>
    <xf numFmtId="164" fontId="90" fillId="0" borderId="33" xfId="0" applyNumberFormat="1" applyFont="1" applyFill="1" applyBorder="1" applyAlignment="1">
      <alignment horizontal="right"/>
    </xf>
    <xf numFmtId="0" fontId="90" fillId="0" borderId="13" xfId="0" applyFont="1" applyFill="1" applyBorder="1" applyAlignment="1">
      <alignment horizontal="left" wrapText="1"/>
    </xf>
    <xf numFmtId="165" fontId="90" fillId="0" borderId="13" xfId="0" applyNumberFormat="1" applyFont="1" applyFill="1" applyBorder="1" applyAlignment="1">
      <alignment horizontal="right"/>
    </xf>
    <xf numFmtId="166" fontId="90" fillId="0" borderId="13" xfId="0" applyNumberFormat="1" applyFont="1" applyFill="1" applyBorder="1" applyAlignment="1">
      <alignment horizontal="right"/>
    </xf>
    <xf numFmtId="44" fontId="91" fillId="0" borderId="32" xfId="38" applyFont="1" applyFill="1" applyBorder="1" applyAlignment="1">
      <alignment horizontal="right"/>
    </xf>
    <xf numFmtId="164" fontId="90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 horizontal="left" wrapText="1"/>
    </xf>
    <xf numFmtId="165" fontId="90" fillId="0" borderId="0" xfId="0" applyNumberFormat="1" applyFont="1" applyFill="1" applyBorder="1" applyAlignment="1">
      <alignment horizontal="right"/>
    </xf>
    <xf numFmtId="166" fontId="90" fillId="0" borderId="0" xfId="0" applyNumberFormat="1" applyFont="1" applyFill="1" applyBorder="1" applyAlignment="1">
      <alignment horizontal="right"/>
    </xf>
    <xf numFmtId="44" fontId="91" fillId="0" borderId="0" xfId="38" applyFont="1" applyFill="1" applyBorder="1" applyAlignment="1">
      <alignment horizontal="right"/>
    </xf>
    <xf numFmtId="0" fontId="92" fillId="0" borderId="0" xfId="0" applyFont="1" applyAlignment="1">
      <alignment horizontal="left" vertical="top"/>
    </xf>
    <xf numFmtId="44" fontId="92" fillId="0" borderId="0" xfId="0" applyNumberFormat="1" applyFont="1" applyAlignment="1">
      <alignment horizontal="left" vertical="top"/>
    </xf>
    <xf numFmtId="0" fontId="0" fillId="0" borderId="0" xfId="0" applyAlignment="1" applyProtection="1">
      <alignment horizontal="center" vertical="top"/>
      <protection/>
    </xf>
    <xf numFmtId="44" fontId="30" fillId="0" borderId="0" xfId="0" applyNumberFormat="1" applyFont="1" applyAlignment="1" applyProtection="1">
      <alignment horizontal="center" vertical="center"/>
      <protection/>
    </xf>
    <xf numFmtId="44" fontId="26" fillId="0" borderId="0" xfId="0" applyNumberFormat="1" applyFont="1" applyAlignment="1" applyProtection="1">
      <alignment horizontal="center" vertical="center"/>
      <protection/>
    </xf>
    <xf numFmtId="173" fontId="88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31" fillId="0" borderId="0" xfId="0" applyFont="1" applyAlignment="1" applyProtection="1">
      <alignment horizontal="center" vertical="top"/>
      <protection/>
    </xf>
    <xf numFmtId="44" fontId="31" fillId="0" borderId="0" xfId="0" applyNumberFormat="1" applyFont="1" applyAlignment="1" applyProtection="1">
      <alignment horizontal="center" vertical="top"/>
      <protection/>
    </xf>
    <xf numFmtId="0" fontId="29" fillId="0" borderId="0" xfId="0" applyFont="1" applyAlignment="1" applyProtection="1">
      <alignment horizontal="center" vertical="top"/>
      <protection/>
    </xf>
    <xf numFmtId="44" fontId="26" fillId="0" borderId="0" xfId="0" applyNumberFormat="1" applyFont="1" applyAlignment="1" applyProtection="1">
      <alignment horizontal="center" vertical="top"/>
      <protection/>
    </xf>
    <xf numFmtId="0" fontId="26" fillId="0" borderId="0" xfId="0" applyFont="1" applyAlignment="1" applyProtection="1">
      <alignment horizontal="center" vertical="top"/>
      <protection/>
    </xf>
    <xf numFmtId="173" fontId="93" fillId="0" borderId="0" xfId="0" applyNumberFormat="1" applyFont="1" applyAlignment="1" applyProtection="1">
      <alignment horizontal="right" vertical="top"/>
      <protection/>
    </xf>
    <xf numFmtId="0" fontId="27" fillId="37" borderId="0" xfId="0" applyFont="1" applyFill="1" applyAlignment="1" applyProtection="1">
      <alignment horizontal="center" vertical="top"/>
      <protection/>
    </xf>
    <xf numFmtId="0" fontId="13" fillId="0" borderId="118" xfId="0" applyFont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0" xfId="0" applyFont="1" applyAlignment="1" applyProtection="1">
      <alignment horizontal="center" vertical="top"/>
      <protection/>
    </xf>
    <xf numFmtId="44" fontId="93" fillId="0" borderId="0" xfId="0" applyNumberFormat="1" applyFont="1" applyAlignment="1" applyProtection="1">
      <alignment horizontal="center" vertical="top"/>
      <protection/>
    </xf>
    <xf numFmtId="0" fontId="93" fillId="0" borderId="0" xfId="0" applyFont="1" applyAlignment="1" applyProtection="1">
      <alignment horizontal="center" vertical="top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70" fontId="4" fillId="0" borderId="49" xfId="47" applyNumberFormat="1" applyFont="1" applyBorder="1" applyAlignment="1" applyProtection="1">
      <alignment horizontal="right" vertical="center"/>
      <protection/>
    </xf>
    <xf numFmtId="170" fontId="20" fillId="0" borderId="50" xfId="47" applyNumberFormat="1" applyFont="1" applyBorder="1" applyAlignment="1">
      <alignment vertical="center"/>
    </xf>
    <xf numFmtId="0" fontId="94" fillId="0" borderId="121" xfId="0" applyFont="1" applyBorder="1" applyAlignment="1" applyProtection="1">
      <alignment horizontal="left" vertical="center"/>
      <protection/>
    </xf>
    <xf numFmtId="0" fontId="88" fillId="0" borderId="121" xfId="0" applyFont="1" applyBorder="1" applyAlignment="1">
      <alignment horizontal="left" vertical="center"/>
    </xf>
    <xf numFmtId="0" fontId="88" fillId="0" borderId="122" xfId="0" applyFont="1" applyBorder="1" applyAlignment="1">
      <alignment horizontal="left" vertical="center"/>
    </xf>
    <xf numFmtId="168" fontId="95" fillId="0" borderId="123" xfId="0" applyNumberFormat="1" applyFont="1" applyBorder="1" applyAlignment="1" applyProtection="1">
      <alignment horizontal="center" vertical="center" wrapText="1"/>
      <protection/>
    </xf>
    <xf numFmtId="0" fontId="88" fillId="0" borderId="39" xfId="0" applyFont="1" applyBorder="1" applyAlignment="1">
      <alignment vertical="center" wrapText="1"/>
    </xf>
    <xf numFmtId="0" fontId="88" fillId="0" borderId="94" xfId="0" applyFont="1" applyBorder="1" applyAlignment="1">
      <alignment vertical="center" wrapText="1"/>
    </xf>
    <xf numFmtId="0" fontId="88" fillId="0" borderId="124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8" fillId="0" borderId="41" xfId="0" applyFont="1" applyBorder="1" applyAlignment="1">
      <alignment vertical="center" wrapText="1"/>
    </xf>
    <xf numFmtId="0" fontId="88" fillId="0" borderId="125" xfId="0" applyFont="1" applyBorder="1" applyAlignment="1">
      <alignment vertical="center" wrapText="1"/>
    </xf>
    <xf numFmtId="0" fontId="88" fillId="0" borderId="98" xfId="0" applyFont="1" applyBorder="1" applyAlignment="1">
      <alignment vertical="center" wrapText="1"/>
    </xf>
    <xf numFmtId="0" fontId="88" fillId="0" borderId="126" xfId="0" applyFont="1" applyBorder="1" applyAlignment="1">
      <alignment vertical="center" wrapText="1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88" fillId="0" borderId="0" xfId="0" applyFont="1" applyAlignment="1">
      <alignment vertical="top"/>
    </xf>
    <xf numFmtId="164" fontId="96" fillId="0" borderId="127" xfId="0" applyNumberFormat="1" applyFont="1" applyBorder="1" applyAlignment="1">
      <alignment horizontal="center" vertical="center" wrapText="1"/>
    </xf>
    <xf numFmtId="0" fontId="97" fillId="0" borderId="128" xfId="0" applyFont="1" applyBorder="1" applyAlignment="1">
      <alignment horizontal="center" vertical="center" wrapText="1"/>
    </xf>
    <xf numFmtId="0" fontId="97" fillId="0" borderId="129" xfId="0" applyFont="1" applyBorder="1" applyAlignment="1">
      <alignment horizontal="center" vertical="center" wrapText="1"/>
    </xf>
    <xf numFmtId="164" fontId="23" fillId="0" borderId="130" xfId="0" applyNumberFormat="1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24" fillId="0" borderId="132" xfId="0" applyFont="1" applyBorder="1" applyAlignment="1">
      <alignment horizontal="center" vertical="center"/>
    </xf>
    <xf numFmtId="0" fontId="59" fillId="0" borderId="118" xfId="0" applyFont="1" applyBorder="1" applyAlignment="1" applyProtection="1">
      <alignment horizontal="left"/>
      <protection/>
    </xf>
    <xf numFmtId="0" fontId="59" fillId="0" borderId="119" xfId="0" applyFont="1" applyBorder="1" applyAlignment="1" applyProtection="1">
      <alignment horizontal="left"/>
      <protection/>
    </xf>
    <xf numFmtId="0" fontId="59" fillId="0" borderId="120" xfId="0" applyFont="1" applyBorder="1" applyAlignment="1" applyProtection="1">
      <alignment horizontal="left"/>
      <protection/>
    </xf>
    <xf numFmtId="0" fontId="59" fillId="0" borderId="0" xfId="0" applyFont="1" applyAlignment="1" applyProtection="1">
      <alignment horizontal="left" vertical="top"/>
      <protection/>
    </xf>
    <xf numFmtId="0" fontId="59" fillId="0" borderId="37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59" fillId="0" borderId="41" xfId="0" applyFont="1" applyBorder="1" applyAlignment="1" applyProtection="1">
      <alignment horizontal="left"/>
      <protection/>
    </xf>
    <xf numFmtId="0" fontId="59" fillId="0" borderId="51" xfId="0" applyFont="1" applyBorder="1" applyAlignment="1" applyProtection="1">
      <alignment horizontal="left"/>
      <protection/>
    </xf>
    <xf numFmtId="0" fontId="59" fillId="0" borderId="52" xfId="0" applyFont="1" applyBorder="1" applyAlignment="1" applyProtection="1">
      <alignment horizontal="left"/>
      <protection/>
    </xf>
    <xf numFmtId="0" fontId="59" fillId="0" borderId="53" xfId="0" applyFont="1" applyBorder="1" applyAlignment="1" applyProtection="1">
      <alignment horizontal="left"/>
      <protection/>
    </xf>
    <xf numFmtId="0" fontId="61" fillId="0" borderId="34" xfId="0" applyFont="1" applyBorder="1" applyAlignment="1" applyProtection="1">
      <alignment horizontal="left" vertical="center"/>
      <protection/>
    </xf>
    <xf numFmtId="0" fontId="61" fillId="0" borderId="35" xfId="0" applyFont="1" applyBorder="1" applyAlignment="1" applyProtection="1">
      <alignment horizontal="left" vertical="center"/>
      <protection/>
    </xf>
    <xf numFmtId="0" fontId="61" fillId="0" borderId="36" xfId="0" applyFont="1" applyBorder="1" applyAlignment="1" applyProtection="1">
      <alignment horizontal="left" vertical="center"/>
      <protection/>
    </xf>
    <xf numFmtId="0" fontId="61" fillId="0" borderId="37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38" xfId="0" applyFont="1" applyBorder="1" applyAlignment="1" applyProtection="1">
      <alignment horizontal="left" vertical="center"/>
      <protection/>
    </xf>
    <xf numFmtId="0" fontId="61" fillId="0" borderId="39" xfId="0" applyFont="1" applyBorder="1" applyAlignment="1" applyProtection="1">
      <alignment horizontal="left" vertical="center"/>
      <protection/>
    </xf>
    <xf numFmtId="0" fontId="61" fillId="0" borderId="40" xfId="0" applyFont="1" applyBorder="1" applyAlignment="1" applyProtection="1">
      <alignment horizontal="left" vertical="center"/>
      <protection/>
    </xf>
    <xf numFmtId="168" fontId="61" fillId="0" borderId="39" xfId="0" applyNumberFormat="1" applyFont="1" applyBorder="1" applyAlignment="1" applyProtection="1">
      <alignment horizontal="right" vertical="center"/>
      <protection/>
    </xf>
    <xf numFmtId="0" fontId="61" fillId="0" borderId="41" xfId="0" applyFont="1" applyBorder="1" applyAlignment="1" applyProtection="1">
      <alignment horizontal="left" vertical="center"/>
      <protection/>
    </xf>
    <xf numFmtId="0" fontId="61" fillId="0" borderId="42" xfId="0" applyFont="1" applyBorder="1" applyAlignment="1" applyProtection="1">
      <alignment horizontal="left" vertical="center"/>
      <protection/>
    </xf>
    <xf numFmtId="0" fontId="61" fillId="0" borderId="43" xfId="0" applyFont="1" applyBorder="1" applyAlignment="1" applyProtection="1">
      <alignment horizontal="left" vertical="center"/>
      <protection/>
    </xf>
    <xf numFmtId="168" fontId="61" fillId="0" borderId="42" xfId="0" applyNumberFormat="1" applyFont="1" applyBorder="1" applyAlignment="1" applyProtection="1">
      <alignment horizontal="right" vertical="center"/>
      <protection/>
    </xf>
    <xf numFmtId="168" fontId="61" fillId="0" borderId="0" xfId="0" applyNumberFormat="1" applyFont="1" applyBorder="1" applyAlignment="1" applyProtection="1">
      <alignment horizontal="right" vertical="center"/>
      <protection/>
    </xf>
    <xf numFmtId="0" fontId="61" fillId="0" borderId="42" xfId="0" applyFont="1" applyBorder="1" applyAlignment="1" applyProtection="1">
      <alignment horizontal="left" vertical="top"/>
      <protection/>
    </xf>
    <xf numFmtId="0" fontId="61" fillId="0" borderId="44" xfId="0" applyFont="1" applyBorder="1" applyAlignment="1" applyProtection="1">
      <alignment horizontal="left" vertical="top"/>
      <protection/>
    </xf>
    <xf numFmtId="0" fontId="61" fillId="0" borderId="45" xfId="0" applyFont="1" applyBorder="1" applyAlignment="1" applyProtection="1">
      <alignment horizontal="left" vertical="center"/>
      <protection/>
    </xf>
    <xf numFmtId="0" fontId="61" fillId="0" borderId="46" xfId="0" applyFont="1" applyBorder="1" applyAlignment="1" applyProtection="1">
      <alignment horizontal="left" vertical="center"/>
      <protection/>
    </xf>
    <xf numFmtId="0" fontId="61" fillId="0" borderId="44" xfId="0" applyFont="1" applyBorder="1" applyAlignment="1" applyProtection="1">
      <alignment horizontal="left" vertical="center"/>
      <protection/>
    </xf>
    <xf numFmtId="168" fontId="61" fillId="0" borderId="45" xfId="0" applyNumberFormat="1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left" vertical="top"/>
      <protection/>
    </xf>
    <xf numFmtId="0" fontId="61" fillId="0" borderId="47" xfId="0" applyFont="1" applyBorder="1" applyAlignment="1" applyProtection="1">
      <alignment horizontal="left" vertical="center"/>
      <protection/>
    </xf>
    <xf numFmtId="0" fontId="61" fillId="0" borderId="48" xfId="0" applyFont="1" applyBorder="1" applyAlignment="1" applyProtection="1">
      <alignment horizontal="left" vertical="center"/>
      <protection/>
    </xf>
    <xf numFmtId="168" fontId="61" fillId="0" borderId="49" xfId="0" applyNumberFormat="1" applyFont="1" applyBorder="1" applyAlignment="1" applyProtection="1">
      <alignment horizontal="right" vertical="center"/>
      <protection/>
    </xf>
    <xf numFmtId="0" fontId="61" fillId="0" borderId="50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1" fillId="0" borderId="49" xfId="0" applyFont="1" applyBorder="1" applyAlignment="1" applyProtection="1">
      <alignment horizontal="left" vertical="center"/>
      <protection/>
    </xf>
    <xf numFmtId="168" fontId="61" fillId="0" borderId="50" xfId="0" applyNumberFormat="1" applyFont="1" applyBorder="1" applyAlignment="1" applyProtection="1">
      <alignment horizontal="right" vertical="center"/>
      <protection/>
    </xf>
    <xf numFmtId="49" fontId="61" fillId="0" borderId="47" xfId="0" applyNumberFormat="1" applyFont="1" applyBorder="1" applyAlignment="1" applyProtection="1">
      <alignment horizontal="left" vertical="center"/>
      <protection/>
    </xf>
    <xf numFmtId="0" fontId="61" fillId="0" borderId="51" xfId="0" applyFont="1" applyBorder="1" applyAlignment="1" applyProtection="1">
      <alignment horizontal="left" vertical="center"/>
      <protection/>
    </xf>
    <xf numFmtId="0" fontId="61" fillId="0" borderId="52" xfId="0" applyFont="1" applyBorder="1" applyAlignment="1" applyProtection="1">
      <alignment horizontal="left" vertical="center"/>
      <protection/>
    </xf>
    <xf numFmtId="0" fontId="61" fillId="0" borderId="53" xfId="0" applyFont="1" applyBorder="1" applyAlignment="1" applyProtection="1">
      <alignment horizontal="left" vertical="center"/>
      <protection/>
    </xf>
    <xf numFmtId="0" fontId="61" fillId="0" borderId="54" xfId="0" applyFont="1" applyBorder="1" applyAlignment="1" applyProtection="1">
      <alignment horizontal="left" vertical="center"/>
      <protection/>
    </xf>
    <xf numFmtId="0" fontId="61" fillId="0" borderId="55" xfId="0" applyFont="1" applyBorder="1" applyAlignment="1" applyProtection="1">
      <alignment horizontal="left" vertical="center"/>
      <protection/>
    </xf>
    <xf numFmtId="0" fontId="63" fillId="0" borderId="55" xfId="0" applyFont="1" applyBorder="1" applyAlignment="1" applyProtection="1">
      <alignment horizontal="left" vertical="center"/>
      <protection/>
    </xf>
    <xf numFmtId="0" fontId="61" fillId="0" borderId="56" xfId="0" applyFont="1" applyBorder="1" applyAlignment="1" applyProtection="1">
      <alignment horizontal="left" vertical="center"/>
      <protection/>
    </xf>
    <xf numFmtId="0" fontId="61" fillId="0" borderId="57" xfId="0" applyFont="1" applyBorder="1" applyAlignment="1" applyProtection="1">
      <alignment horizontal="left" vertical="center"/>
      <protection/>
    </xf>
    <xf numFmtId="0" fontId="61" fillId="0" borderId="58" xfId="0" applyFont="1" applyBorder="1" applyAlignment="1" applyProtection="1">
      <alignment horizontal="left" vertical="center"/>
      <protection/>
    </xf>
    <xf numFmtId="0" fontId="61" fillId="0" borderId="59" xfId="0" applyFont="1" applyBorder="1" applyAlignment="1" applyProtection="1">
      <alignment horizontal="left" vertical="center"/>
      <protection/>
    </xf>
    <xf numFmtId="0" fontId="61" fillId="0" borderId="60" xfId="0" applyFont="1" applyBorder="1" applyAlignment="1" applyProtection="1">
      <alignment horizontal="left" vertical="center"/>
      <protection/>
    </xf>
    <xf numFmtId="0" fontId="61" fillId="0" borderId="61" xfId="0" applyFont="1" applyBorder="1" applyAlignment="1" applyProtection="1">
      <alignment horizontal="left" vertical="center"/>
      <protection/>
    </xf>
    <xf numFmtId="164" fontId="59" fillId="0" borderId="62" xfId="0" applyNumberFormat="1" applyFont="1" applyBorder="1" applyAlignment="1" applyProtection="1">
      <alignment horizontal="right" vertical="center"/>
      <protection/>
    </xf>
    <xf numFmtId="164" fontId="59" fillId="0" borderId="63" xfId="0" applyNumberFormat="1" applyFont="1" applyBorder="1" applyAlignment="1" applyProtection="1">
      <alignment horizontal="right" vertical="center"/>
      <protection/>
    </xf>
    <xf numFmtId="164" fontId="59" fillId="0" borderId="64" xfId="0" applyNumberFormat="1" applyFont="1" applyBorder="1" applyAlignment="1" applyProtection="1">
      <alignment horizontal="right" vertical="center"/>
      <protection/>
    </xf>
    <xf numFmtId="166" fontId="59" fillId="0" borderId="65" xfId="0" applyNumberFormat="1" applyFont="1" applyBorder="1" applyAlignment="1" applyProtection="1">
      <alignment horizontal="right" vertical="center"/>
      <protection/>
    </xf>
    <xf numFmtId="164" fontId="59" fillId="0" borderId="65" xfId="0" applyNumberFormat="1" applyFont="1" applyBorder="1" applyAlignment="1" applyProtection="1">
      <alignment horizontal="right" vertical="center"/>
      <protection/>
    </xf>
    <xf numFmtId="166" fontId="59" fillId="0" borderId="63" xfId="0" applyNumberFormat="1" applyFont="1" applyBorder="1" applyAlignment="1" applyProtection="1">
      <alignment horizontal="right" vertical="center"/>
      <protection/>
    </xf>
    <xf numFmtId="164" fontId="59" fillId="0" borderId="66" xfId="0" applyNumberFormat="1" applyFont="1" applyBorder="1" applyAlignment="1" applyProtection="1">
      <alignment horizontal="right" vertical="center"/>
      <protection/>
    </xf>
    <xf numFmtId="0" fontId="63" fillId="0" borderId="55" xfId="0" applyFont="1" applyBorder="1" applyAlignment="1" applyProtection="1">
      <alignment horizontal="left" vertical="center" wrapText="1"/>
      <protection/>
    </xf>
    <xf numFmtId="0" fontId="64" fillId="0" borderId="57" xfId="0" applyFont="1" applyBorder="1" applyAlignment="1" applyProtection="1">
      <alignment horizontal="left" vertical="center"/>
      <protection/>
    </xf>
    <xf numFmtId="0" fontId="64" fillId="0" borderId="59" xfId="0" applyFont="1" applyBorder="1" applyAlignment="1" applyProtection="1">
      <alignment horizontal="left" vertical="center"/>
      <protection/>
    </xf>
    <xf numFmtId="0" fontId="63" fillId="0" borderId="60" xfId="0" applyFont="1" applyBorder="1" applyAlignment="1" applyProtection="1">
      <alignment horizontal="left" vertical="center"/>
      <protection/>
    </xf>
    <xf numFmtId="0" fontId="63" fillId="0" borderId="58" xfId="0" applyFont="1" applyBorder="1" applyAlignment="1" applyProtection="1">
      <alignment horizontal="left" vertical="center"/>
      <protection/>
    </xf>
    <xf numFmtId="0" fontId="63" fillId="0" borderId="67" xfId="0" applyFont="1" applyBorder="1" applyAlignment="1" applyProtection="1">
      <alignment horizontal="left" vertical="center"/>
      <protection/>
    </xf>
    <xf numFmtId="0" fontId="64" fillId="0" borderId="68" xfId="0" applyFont="1" applyBorder="1" applyAlignment="1" applyProtection="1">
      <alignment horizontal="left" vertical="center"/>
      <protection/>
    </xf>
    <xf numFmtId="0" fontId="63" fillId="0" borderId="59" xfId="0" applyFont="1" applyBorder="1" applyAlignment="1" applyProtection="1">
      <alignment horizontal="left" vertical="center"/>
      <protection/>
    </xf>
    <xf numFmtId="0" fontId="63" fillId="0" borderId="61" xfId="0" applyFont="1" applyBorder="1" applyAlignment="1" applyProtection="1">
      <alignment horizontal="left" vertical="center"/>
      <protection/>
    </xf>
    <xf numFmtId="168" fontId="61" fillId="0" borderId="69" xfId="0" applyNumberFormat="1" applyFont="1" applyBorder="1" applyAlignment="1" applyProtection="1">
      <alignment horizontal="center" vertical="center"/>
      <protection/>
    </xf>
    <xf numFmtId="0" fontId="65" fillId="0" borderId="38" xfId="0" applyFont="1" applyBorder="1" applyAlignment="1" applyProtection="1">
      <alignment horizontal="left" vertical="center" wrapText="1"/>
      <protection/>
    </xf>
    <xf numFmtId="169" fontId="59" fillId="0" borderId="48" xfId="38" applyNumberFormat="1" applyFont="1" applyBorder="1" applyAlignment="1" applyProtection="1">
      <alignment horizontal="right" vertical="center" wrapText="1"/>
      <protection/>
    </xf>
    <xf numFmtId="0" fontId="61" fillId="0" borderId="70" xfId="0" applyFont="1" applyBorder="1" applyAlignment="1" applyProtection="1">
      <alignment horizontal="left" vertical="center"/>
      <protection/>
    </xf>
    <xf numFmtId="168" fontId="61" fillId="0" borderId="71" xfId="0" applyNumberFormat="1" applyFont="1" applyBorder="1" applyAlignment="1" applyProtection="1">
      <alignment horizontal="center" vertical="center"/>
      <protection/>
    </xf>
    <xf numFmtId="166" fontId="59" fillId="0" borderId="48" xfId="0" applyNumberFormat="1" applyFont="1" applyBorder="1" applyAlignment="1" applyProtection="1">
      <alignment horizontal="right" vertical="center"/>
      <protection/>
    </xf>
    <xf numFmtId="164" fontId="59" fillId="0" borderId="49" xfId="0" applyNumberFormat="1" applyFont="1" applyBorder="1" applyAlignment="1" applyProtection="1">
      <alignment horizontal="right" vertical="center"/>
      <protection/>
    </xf>
    <xf numFmtId="170" fontId="61" fillId="0" borderId="49" xfId="47" applyNumberFormat="1" applyFont="1" applyBorder="1" applyAlignment="1" applyProtection="1">
      <alignment horizontal="right" vertical="center"/>
      <protection/>
    </xf>
    <xf numFmtId="169" fontId="59" fillId="0" borderId="48" xfId="38" applyNumberFormat="1" applyFont="1" applyBorder="1" applyAlignment="1" applyProtection="1">
      <alignment horizontal="right" vertical="center"/>
      <protection/>
    </xf>
    <xf numFmtId="0" fontId="61" fillId="0" borderId="72" xfId="0" applyFont="1" applyBorder="1" applyAlignment="1" applyProtection="1">
      <alignment horizontal="left" vertical="center"/>
      <protection/>
    </xf>
    <xf numFmtId="0" fontId="65" fillId="0" borderId="48" xfId="0" applyFont="1" applyBorder="1" applyAlignment="1" applyProtection="1">
      <alignment horizontal="left" vertical="center" wrapText="1"/>
      <protection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66" fillId="0" borderId="49" xfId="0" applyFont="1" applyBorder="1" applyAlignment="1" applyProtection="1">
      <alignment horizontal="right" vertical="center"/>
      <protection/>
    </xf>
    <xf numFmtId="0" fontId="66" fillId="0" borderId="50" xfId="0" applyFont="1" applyBorder="1" applyAlignment="1" applyProtection="1">
      <alignment horizontal="left" vertical="center"/>
      <protection/>
    </xf>
    <xf numFmtId="168" fontId="61" fillId="0" borderId="73" xfId="0" applyNumberFormat="1" applyFont="1" applyBorder="1" applyAlignment="1" applyProtection="1">
      <alignment horizontal="center" vertical="center"/>
      <protection/>
    </xf>
    <xf numFmtId="164" fontId="59" fillId="0" borderId="48" xfId="0" applyNumberFormat="1" applyFont="1" applyBorder="1" applyAlignment="1" applyProtection="1">
      <alignment horizontal="right" vertical="center"/>
      <protection/>
    </xf>
    <xf numFmtId="168" fontId="61" fillId="0" borderId="133" xfId="0" applyNumberFormat="1" applyFont="1" applyBorder="1" applyAlignment="1" applyProtection="1">
      <alignment horizontal="center" vertical="center"/>
      <protection/>
    </xf>
    <xf numFmtId="0" fontId="59" fillId="0" borderId="134" xfId="0" applyFont="1" applyBorder="1" applyAlignment="1" applyProtection="1">
      <alignment horizontal="left" vertical="top"/>
      <protection/>
    </xf>
    <xf numFmtId="0" fontId="61" fillId="0" borderId="135" xfId="0" applyFont="1" applyBorder="1" applyAlignment="1" applyProtection="1">
      <alignment horizontal="left" vertical="center"/>
      <protection/>
    </xf>
    <xf numFmtId="0" fontId="65" fillId="0" borderId="48" xfId="0" applyFont="1" applyBorder="1" applyAlignment="1" applyProtection="1">
      <alignment horizontal="left" vertical="center"/>
      <protection/>
    </xf>
    <xf numFmtId="166" fontId="59" fillId="0" borderId="74" xfId="0" applyNumberFormat="1" applyFont="1" applyBorder="1" applyAlignment="1" applyProtection="1">
      <alignment horizontal="right" vertical="center"/>
      <protection/>
    </xf>
    <xf numFmtId="164" fontId="59" fillId="0" borderId="75" xfId="0" applyNumberFormat="1" applyFont="1" applyBorder="1" applyAlignment="1" applyProtection="1">
      <alignment horizontal="right" vertical="center"/>
      <protection/>
    </xf>
    <xf numFmtId="0" fontId="65" fillId="0" borderId="38" xfId="0" applyFont="1" applyBorder="1" applyAlignment="1" applyProtection="1">
      <alignment horizontal="left" vertical="center"/>
      <protection/>
    </xf>
    <xf numFmtId="0" fontId="61" fillId="0" borderId="136" xfId="0" applyFont="1" applyBorder="1" applyAlignment="1" applyProtection="1">
      <alignment horizontal="left" vertical="center"/>
      <protection/>
    </xf>
    <xf numFmtId="169" fontId="59" fillId="0" borderId="74" xfId="38" applyNumberFormat="1" applyFont="1" applyBorder="1" applyAlignment="1" applyProtection="1">
      <alignment horizontal="right" vertical="center"/>
      <protection/>
    </xf>
    <xf numFmtId="168" fontId="61" fillId="0" borderId="137" xfId="0" applyNumberFormat="1" applyFont="1" applyBorder="1" applyAlignment="1" applyProtection="1">
      <alignment horizontal="center" vertical="center"/>
      <protection/>
    </xf>
    <xf numFmtId="0" fontId="65" fillId="0" borderId="77" xfId="0" applyFont="1" applyBorder="1" applyAlignment="1" applyProtection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169" fontId="59" fillId="0" borderId="138" xfId="38" applyNumberFormat="1" applyFont="1" applyBorder="1" applyAlignment="1" applyProtection="1">
      <alignment horizontal="right" vertical="center" wrapText="1"/>
      <protection/>
    </xf>
    <xf numFmtId="0" fontId="61" fillId="0" borderId="78" xfId="0" applyFont="1" applyBorder="1" applyAlignment="1" applyProtection="1">
      <alignment horizontal="left" vertical="center"/>
      <protection/>
    </xf>
    <xf numFmtId="168" fontId="61" fillId="0" borderId="79" xfId="0" applyNumberFormat="1" applyFont="1" applyBorder="1" applyAlignment="1" applyProtection="1">
      <alignment horizontal="center" vertical="center"/>
      <protection/>
    </xf>
    <xf numFmtId="0" fontId="61" fillId="0" borderId="65" xfId="0" applyFont="1" applyBorder="1" applyAlignment="1" applyProtection="1">
      <alignment horizontal="left" vertical="center"/>
      <protection/>
    </xf>
    <xf numFmtId="0" fontId="61" fillId="0" borderId="64" xfId="0" applyFont="1" applyBorder="1" applyAlignment="1" applyProtection="1">
      <alignment horizontal="left" vertical="center"/>
      <protection/>
    </xf>
    <xf numFmtId="166" fontId="59" fillId="0" borderId="55" xfId="0" applyNumberFormat="1" applyFont="1" applyBorder="1" applyAlignment="1" applyProtection="1">
      <alignment horizontal="right" vertical="center"/>
      <protection/>
    </xf>
    <xf numFmtId="164" fontId="67" fillId="0" borderId="52" xfId="0" applyNumberFormat="1" applyFont="1" applyBorder="1" applyAlignment="1" applyProtection="1">
      <alignment horizontal="right" vertical="center"/>
      <protection/>
    </xf>
    <xf numFmtId="0" fontId="61" fillId="0" borderId="63" xfId="0" applyFont="1" applyBorder="1" applyAlignment="1" applyProtection="1">
      <alignment horizontal="left" vertical="center"/>
      <protection/>
    </xf>
    <xf numFmtId="169" fontId="59" fillId="0" borderId="77" xfId="38" applyNumberFormat="1" applyFont="1" applyBorder="1" applyAlignment="1" applyProtection="1">
      <alignment horizontal="right" vertical="center"/>
      <protection/>
    </xf>
    <xf numFmtId="0" fontId="63" fillId="0" borderId="34" xfId="0" applyFont="1" applyBorder="1" applyAlignment="1" applyProtection="1">
      <alignment horizontal="left" vertical="top"/>
      <protection/>
    </xf>
    <xf numFmtId="0" fontId="61" fillId="0" borderId="80" xfId="0" applyFont="1" applyBorder="1" applyAlignment="1" applyProtection="1">
      <alignment horizontal="left" vertical="center"/>
      <protection/>
    </xf>
    <xf numFmtId="0" fontId="61" fillId="0" borderId="81" xfId="0" applyFont="1" applyBorder="1" applyAlignment="1" applyProtection="1">
      <alignment horizontal="left" vertical="center"/>
      <protection/>
    </xf>
    <xf numFmtId="0" fontId="64" fillId="0" borderId="82" xfId="0" applyFont="1" applyBorder="1" applyAlignment="1" applyProtection="1">
      <alignment horizontal="left" vertical="center"/>
      <protection/>
    </xf>
    <xf numFmtId="0" fontId="63" fillId="0" borderId="81" xfId="0" applyFont="1" applyBorder="1" applyAlignment="1" applyProtection="1">
      <alignment horizontal="left" vertical="center"/>
      <protection/>
    </xf>
    <xf numFmtId="169" fontId="61" fillId="0" borderId="35" xfId="38" applyNumberFormat="1" applyFont="1" applyBorder="1" applyAlignment="1" applyProtection="1">
      <alignment horizontal="left" vertical="center"/>
      <protection/>
    </xf>
    <xf numFmtId="168" fontId="65" fillId="0" borderId="83" xfId="0" applyNumberFormat="1" applyFont="1" applyBorder="1" applyAlignment="1" applyProtection="1">
      <alignment horizontal="center" vertical="center"/>
      <protection/>
    </xf>
    <xf numFmtId="0" fontId="65" fillId="0" borderId="84" xfId="0" applyFont="1" applyBorder="1" applyAlignment="1" applyProtection="1">
      <alignment horizontal="left" vertical="center"/>
      <protection/>
    </xf>
    <xf numFmtId="0" fontId="65" fillId="0" borderId="85" xfId="0" applyFont="1" applyBorder="1" applyAlignment="1" applyProtection="1">
      <alignment horizontal="left" vertical="center"/>
      <protection/>
    </xf>
    <xf numFmtId="0" fontId="65" fillId="0" borderId="86" xfId="0" applyFont="1" applyBorder="1" applyAlignment="1" applyProtection="1">
      <alignment horizontal="left" vertical="center"/>
      <protection/>
    </xf>
    <xf numFmtId="169" fontId="63" fillId="0" borderId="87" xfId="38" applyNumberFormat="1" applyFont="1" applyBorder="1" applyAlignment="1" applyProtection="1">
      <alignment horizontal="right" vertical="center"/>
      <protection/>
    </xf>
    <xf numFmtId="0" fontId="65" fillId="0" borderId="88" xfId="0" applyFont="1" applyBorder="1" applyAlignment="1" applyProtection="1">
      <alignment horizontal="left" vertical="center"/>
      <protection/>
    </xf>
    <xf numFmtId="0" fontId="61" fillId="0" borderId="89" xfId="0" applyFont="1" applyBorder="1" applyAlignment="1" applyProtection="1">
      <alignment horizontal="left"/>
      <protection/>
    </xf>
    <xf numFmtId="0" fontId="61" fillId="0" borderId="44" xfId="0" applyFont="1" applyBorder="1" applyAlignment="1" applyProtection="1">
      <alignment horizontal="left"/>
      <protection/>
    </xf>
    <xf numFmtId="168" fontId="61" fillId="0" borderId="90" xfId="0" applyNumberFormat="1" applyFont="1" applyBorder="1" applyAlignment="1" applyProtection="1">
      <alignment horizontal="center" vertical="center"/>
      <protection/>
    </xf>
    <xf numFmtId="164" fontId="61" fillId="0" borderId="44" xfId="0" applyNumberFormat="1" applyFont="1" applyBorder="1" applyAlignment="1" applyProtection="1">
      <alignment horizontal="right" vertical="center"/>
      <protection/>
    </xf>
    <xf numFmtId="166" fontId="61" fillId="0" borderId="44" xfId="0" applyNumberFormat="1" applyFont="1" applyBorder="1" applyAlignment="1" applyProtection="1">
      <alignment horizontal="right" vertical="center"/>
      <protection/>
    </xf>
    <xf numFmtId="169" fontId="59" fillId="0" borderId="44" xfId="38" applyNumberFormat="1" applyFont="1" applyBorder="1" applyAlignment="1" applyProtection="1">
      <alignment horizontal="right" vertical="center"/>
      <protection/>
    </xf>
    <xf numFmtId="0" fontId="61" fillId="0" borderId="91" xfId="0" applyFont="1" applyBorder="1" applyAlignment="1" applyProtection="1">
      <alignment horizontal="left" vertical="center"/>
      <protection/>
    </xf>
    <xf numFmtId="0" fontId="63" fillId="0" borderId="92" xfId="0" applyFont="1" applyBorder="1" applyAlignment="1" applyProtection="1">
      <alignment horizontal="left" vertical="top"/>
      <protection/>
    </xf>
    <xf numFmtId="164" fontId="61" fillId="0" borderId="48" xfId="0" applyNumberFormat="1" applyFont="1" applyBorder="1" applyAlignment="1" applyProtection="1">
      <alignment horizontal="right" vertical="center"/>
      <protection/>
    </xf>
    <xf numFmtId="166" fontId="61" fillId="0" borderId="48" xfId="0" applyNumberFormat="1" applyFont="1" applyBorder="1" applyAlignment="1" applyProtection="1">
      <alignment horizontal="right" vertical="center"/>
      <protection/>
    </xf>
    <xf numFmtId="0" fontId="63" fillId="0" borderId="65" xfId="0" applyFont="1" applyBorder="1" applyAlignment="1" applyProtection="1">
      <alignment horizontal="left" vertical="center"/>
      <protection/>
    </xf>
    <xf numFmtId="0" fontId="61" fillId="0" borderId="139" xfId="0" applyFont="1" applyBorder="1" applyAlignment="1" applyProtection="1">
      <alignment horizontal="left" vertical="center"/>
      <protection/>
    </xf>
    <xf numFmtId="169" fontId="63" fillId="0" borderId="19" xfId="38" applyNumberFormat="1" applyFont="1" applyBorder="1" applyAlignment="1" applyProtection="1">
      <alignment horizontal="right" vertical="center"/>
      <protection/>
    </xf>
    <xf numFmtId="0" fontId="61" fillId="0" borderId="140" xfId="0" applyFont="1" applyBorder="1" applyAlignment="1" applyProtection="1">
      <alignment horizontal="left" vertical="center"/>
      <protection/>
    </xf>
    <xf numFmtId="169" fontId="59" fillId="0" borderId="58" xfId="38" applyNumberFormat="1" applyFont="1" applyBorder="1" applyAlignment="1" applyProtection="1">
      <alignment horizontal="left" vertical="center"/>
      <protection/>
    </xf>
    <xf numFmtId="0" fontId="61" fillId="0" borderId="97" xfId="0" applyFont="1" applyBorder="1" applyAlignment="1" applyProtection="1">
      <alignment horizontal="left"/>
      <protection/>
    </xf>
    <xf numFmtId="0" fontId="61" fillId="0" borderId="98" xfId="0" applyFont="1" applyBorder="1" applyAlignment="1" applyProtection="1">
      <alignment horizontal="left" vertical="center"/>
      <protection/>
    </xf>
    <xf numFmtId="0" fontId="61" fillId="0" borderId="99" xfId="0" applyFont="1" applyBorder="1" applyAlignment="1" applyProtection="1">
      <alignment horizontal="left" vertical="center"/>
      <protection/>
    </xf>
    <xf numFmtId="0" fontId="61" fillId="0" borderId="100" xfId="0" applyFont="1" applyBorder="1" applyAlignment="1" applyProtection="1">
      <alignment horizontal="left"/>
      <protection/>
    </xf>
    <xf numFmtId="168" fontId="61" fillId="0" borderId="141" xfId="0" applyNumberFormat="1" applyFont="1" applyBorder="1" applyAlignment="1" applyProtection="1">
      <alignment horizontal="center" vertical="center"/>
      <protection/>
    </xf>
    <xf numFmtId="0" fontId="61" fillId="0" borderId="142" xfId="0" applyFont="1" applyBorder="1" applyAlignment="1" applyProtection="1">
      <alignment horizontal="left" vertical="center"/>
      <protection/>
    </xf>
    <xf numFmtId="0" fontId="61" fillId="0" borderId="143" xfId="0" applyFont="1" applyBorder="1" applyAlignment="1" applyProtection="1">
      <alignment horizontal="left" vertical="center"/>
      <protection/>
    </xf>
    <xf numFmtId="0" fontId="61" fillId="0" borderId="144" xfId="0" applyFont="1" applyBorder="1" applyAlignment="1" applyProtection="1">
      <alignment horizontal="left" vertical="center"/>
      <protection/>
    </xf>
    <xf numFmtId="169" fontId="59" fillId="0" borderId="142" xfId="38" applyNumberFormat="1" applyFont="1" applyBorder="1" applyAlignment="1" applyProtection="1">
      <alignment horizontal="right" vertical="center"/>
      <protection/>
    </xf>
    <xf numFmtId="0" fontId="61" fillId="0" borderId="145" xfId="0" applyFont="1" applyBorder="1" applyAlignment="1" applyProtection="1">
      <alignment horizontal="left" vertical="center"/>
      <protection/>
    </xf>
    <xf numFmtId="0" fontId="68" fillId="38" borderId="0" xfId="0" applyFont="1" applyFill="1" applyAlignment="1" applyProtection="1">
      <alignment horizontal="left"/>
      <protection/>
    </xf>
    <xf numFmtId="0" fontId="61" fillId="38" borderId="0" xfId="0" applyFont="1" applyFill="1" applyAlignment="1" applyProtection="1">
      <alignment horizontal="left"/>
      <protection/>
    </xf>
    <xf numFmtId="0" fontId="59" fillId="38" borderId="0" xfId="0" applyFont="1" applyFill="1" applyAlignment="1" applyProtection="1">
      <alignment horizontal="left" vertical="top"/>
      <protection/>
    </xf>
    <xf numFmtId="0" fontId="65" fillId="38" borderId="0" xfId="0" applyFont="1" applyFill="1" applyAlignment="1" applyProtection="1">
      <alignment horizontal="left" vertical="center"/>
      <protection/>
    </xf>
    <xf numFmtId="0" fontId="61" fillId="38" borderId="0" xfId="0" applyFont="1" applyFill="1" applyAlignment="1" applyProtection="1">
      <alignment horizontal="left" vertical="center"/>
      <protection/>
    </xf>
    <xf numFmtId="0" fontId="61" fillId="38" borderId="146" xfId="0" applyFont="1" applyFill="1" applyBorder="1" applyAlignment="1" applyProtection="1">
      <alignment horizontal="center" vertical="center" wrapText="1"/>
      <protection/>
    </xf>
    <xf numFmtId="0" fontId="61" fillId="38" borderId="147" xfId="0" applyFont="1" applyFill="1" applyBorder="1" applyAlignment="1" applyProtection="1">
      <alignment horizontal="center" vertical="center" wrapText="1"/>
      <protection/>
    </xf>
    <xf numFmtId="0" fontId="61" fillId="38" borderId="59" xfId="0" applyFont="1" applyFill="1" applyBorder="1" applyAlignment="1" applyProtection="1">
      <alignment horizontal="center" vertical="center" wrapText="1"/>
      <protection/>
    </xf>
    <xf numFmtId="0" fontId="61" fillId="38" borderId="148" xfId="0" applyFont="1" applyFill="1" applyBorder="1" applyAlignment="1" applyProtection="1">
      <alignment horizontal="center" vertical="center" wrapText="1"/>
      <protection/>
    </xf>
    <xf numFmtId="168" fontId="61" fillId="38" borderId="79" xfId="0" applyNumberFormat="1" applyFont="1" applyFill="1" applyBorder="1" applyAlignment="1" applyProtection="1">
      <alignment horizontal="center" vertical="center"/>
      <protection/>
    </xf>
    <xf numFmtId="168" fontId="61" fillId="38" borderId="149" xfId="0" applyNumberFormat="1" applyFont="1" applyFill="1" applyBorder="1" applyAlignment="1" applyProtection="1">
      <alignment horizontal="center" vertical="center"/>
      <protection/>
    </xf>
    <xf numFmtId="168" fontId="61" fillId="38" borderId="64" xfId="0" applyNumberFormat="1" applyFont="1" applyFill="1" applyBorder="1" applyAlignment="1" applyProtection="1">
      <alignment horizontal="center" vertical="center"/>
      <protection/>
    </xf>
    <xf numFmtId="168" fontId="61" fillId="38" borderId="150" xfId="0" applyNumberFormat="1" applyFont="1" applyFill="1" applyBorder="1" applyAlignment="1" applyProtection="1">
      <alignment horizontal="center" vertical="center"/>
      <protection/>
    </xf>
    <xf numFmtId="0" fontId="61" fillId="38" borderId="151" xfId="0" applyFont="1" applyFill="1" applyBorder="1" applyAlignment="1" applyProtection="1">
      <alignment horizontal="left"/>
      <protection/>
    </xf>
    <xf numFmtId="0" fontId="65" fillId="38" borderId="35" xfId="0" applyFont="1" applyFill="1" applyBorder="1" applyAlignment="1" applyProtection="1">
      <alignment horizontal="left" vertical="center"/>
      <protection/>
    </xf>
    <xf numFmtId="0" fontId="65" fillId="38" borderId="35" xfId="0" applyFont="1" applyFill="1" applyBorder="1" applyAlignment="1" applyProtection="1">
      <alignment horizontal="center" vertical="center"/>
      <protection/>
    </xf>
    <xf numFmtId="44" fontId="65" fillId="38" borderId="35" xfId="38" applyFont="1" applyFill="1" applyBorder="1" applyAlignment="1" applyProtection="1">
      <alignment horizontal="left" vertical="center"/>
      <protection/>
    </xf>
    <xf numFmtId="44" fontId="65" fillId="38" borderId="35" xfId="38" applyFont="1" applyFill="1" applyBorder="1" applyAlignment="1" applyProtection="1">
      <alignment horizontal="right" vertical="center"/>
      <protection/>
    </xf>
    <xf numFmtId="165" fontId="65" fillId="38" borderId="35" xfId="0" applyNumberFormat="1" applyFont="1" applyFill="1" applyBorder="1" applyAlignment="1" applyProtection="1">
      <alignment horizontal="right" vertical="center"/>
      <protection/>
    </xf>
    <xf numFmtId="0" fontId="65" fillId="38" borderId="0" xfId="0" applyFont="1" applyFill="1" applyAlignment="1" applyProtection="1">
      <alignment horizontal="center" vertical="center"/>
      <protection/>
    </xf>
    <xf numFmtId="44" fontId="65" fillId="38" borderId="0" xfId="38" applyFont="1" applyFill="1" applyAlignment="1" applyProtection="1">
      <alignment horizontal="left" vertical="center"/>
      <protection/>
    </xf>
    <xf numFmtId="44" fontId="65" fillId="38" borderId="0" xfId="38" applyFont="1" applyFill="1" applyAlignment="1" applyProtection="1">
      <alignment horizontal="right" vertical="center"/>
      <protection/>
    </xf>
    <xf numFmtId="165" fontId="65" fillId="38" borderId="0" xfId="0" applyNumberFormat="1" applyFont="1" applyFill="1" applyAlignment="1" applyProtection="1">
      <alignment horizontal="right" vertical="center"/>
      <protection/>
    </xf>
    <xf numFmtId="0" fontId="61" fillId="38" borderId="0" xfId="0" applyFont="1" applyFill="1" applyAlignment="1" applyProtection="1">
      <alignment horizontal="center" vertical="center"/>
      <protection/>
    </xf>
    <xf numFmtId="165" fontId="61" fillId="38" borderId="0" xfId="0" applyNumberFormat="1" applyFont="1" applyFill="1" applyAlignment="1" applyProtection="1">
      <alignment horizontal="right" vertical="center"/>
      <protection/>
    </xf>
    <xf numFmtId="44" fontId="61" fillId="38" borderId="0" xfId="38" applyFont="1" applyFill="1" applyAlignment="1" applyProtection="1">
      <alignment horizontal="right" vertical="center"/>
      <protection/>
    </xf>
    <xf numFmtId="175" fontId="61" fillId="38" borderId="0" xfId="0" applyNumberFormat="1" applyFont="1" applyFill="1" applyAlignment="1" applyProtection="1">
      <alignment horizontal="right" vertical="center"/>
      <protection/>
    </xf>
    <xf numFmtId="164" fontId="61" fillId="38" borderId="0" xfId="0" applyNumberFormat="1" applyFont="1" applyFill="1" applyAlignment="1" applyProtection="1">
      <alignment horizontal="right" vertical="center"/>
      <protection/>
    </xf>
    <xf numFmtId="0" fontId="69" fillId="38" borderId="0" xfId="0" applyFont="1" applyFill="1" applyAlignment="1" applyProtection="1">
      <alignment horizontal="left" vertical="center"/>
      <protection/>
    </xf>
    <xf numFmtId="44" fontId="69" fillId="38" borderId="0" xfId="38" applyFont="1" applyFill="1" applyAlignment="1" applyProtection="1">
      <alignment horizontal="left" vertical="center"/>
      <protection/>
    </xf>
    <xf numFmtId="44" fontId="69" fillId="38" borderId="0" xfId="38" applyFont="1" applyFill="1" applyAlignment="1" applyProtection="1">
      <alignment horizontal="right" vertical="center"/>
      <protection/>
    </xf>
    <xf numFmtId="165" fontId="69" fillId="38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mak\AppData\Local\Microsoft\Windows\Temporary%20Internet%20Files\Content.Outlook\7VLNTXWX\130207+-+Nov&#233;+Hamry+-+VCP+II+-+odvodn&#283;n&#237;+a+&#269;i&#353;t&#283;n&#237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objekt č.2"/>
      <sheetName val="objekt č.3"/>
      <sheetName val="objekt č.4"/>
      <sheetName val="objekt č.5"/>
      <sheetName val="objekt č.6"/>
      <sheetName val="objekt č.7"/>
    </sheetNames>
    <sheetDataSet>
      <sheetData sheetId="0">
        <row r="5">
          <cell r="E5" t="str">
            <v>Nové Hamry - VCP II</v>
          </cell>
          <cell r="P5" t="str">
            <v> </v>
          </cell>
        </row>
        <row r="9">
          <cell r="E9" t="str">
            <v> </v>
          </cell>
        </row>
        <row r="26">
          <cell r="E26" t="str">
            <v>OÚ Nové Hamry</v>
          </cell>
        </row>
        <row r="28">
          <cell r="E28" t="str">
            <v>VIDEST s.r.o.</v>
          </cell>
        </row>
      </sheetData>
      <sheetData sheetId="1">
        <row r="16">
          <cell r="I16">
            <v>771.4</v>
          </cell>
          <cell r="N16">
            <v>4</v>
          </cell>
        </row>
        <row r="17">
          <cell r="I17">
            <v>1165.08</v>
          </cell>
          <cell r="N17">
            <v>4</v>
          </cell>
        </row>
        <row r="18">
          <cell r="I18">
            <v>524.4</v>
          </cell>
          <cell r="N18">
            <v>4</v>
          </cell>
        </row>
        <row r="19">
          <cell r="I19">
            <v>427.5</v>
          </cell>
          <cell r="N19">
            <v>4</v>
          </cell>
        </row>
        <row r="20">
          <cell r="I20">
            <v>1368</v>
          </cell>
          <cell r="N20">
            <v>4</v>
          </cell>
        </row>
        <row r="21">
          <cell r="I21">
            <v>2049.72</v>
          </cell>
          <cell r="N21">
            <v>4</v>
          </cell>
        </row>
        <row r="22">
          <cell r="I22">
            <v>519.84</v>
          </cell>
          <cell r="N22">
            <v>4</v>
          </cell>
        </row>
        <row r="23">
          <cell r="I23">
            <v>1064</v>
          </cell>
          <cell r="N23">
            <v>4</v>
          </cell>
        </row>
        <row r="24">
          <cell r="I24">
            <v>118</v>
          </cell>
          <cell r="N24">
            <v>4</v>
          </cell>
        </row>
        <row r="25">
          <cell r="I25">
            <v>658</v>
          </cell>
          <cell r="N25">
            <v>8</v>
          </cell>
        </row>
        <row r="26">
          <cell r="I26">
            <v>218</v>
          </cell>
          <cell r="N26">
            <v>9</v>
          </cell>
        </row>
        <row r="27">
          <cell r="I27">
            <v>1241.46</v>
          </cell>
          <cell r="N27">
            <v>4</v>
          </cell>
        </row>
        <row r="28">
          <cell r="I28">
            <v>10125.400000000001</v>
          </cell>
        </row>
      </sheetData>
      <sheetData sheetId="6">
        <row r="22">
          <cell r="I22">
            <v>12028.199999999999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7">
      <selection activeCell="W46" sqref="W46"/>
    </sheetView>
  </sheetViews>
  <sheetFormatPr defaultColWidth="9.33203125" defaultRowHeight="10.5"/>
  <cols>
    <col min="1" max="1" width="3" style="109" customWidth="1"/>
    <col min="2" max="2" width="2.16015625" style="109" customWidth="1"/>
    <col min="3" max="3" width="3.16015625" style="109" customWidth="1"/>
    <col min="4" max="4" width="8" style="109" customWidth="1"/>
    <col min="5" max="5" width="15.83203125" style="109" customWidth="1"/>
    <col min="6" max="6" width="0.65625" style="109" customWidth="1"/>
    <col min="7" max="7" width="3.5" style="109" customWidth="1"/>
    <col min="8" max="8" width="3.16015625" style="109" customWidth="1"/>
    <col min="9" max="9" width="11.33203125" style="109" customWidth="1"/>
    <col min="10" max="10" width="15.83203125" style="109" customWidth="1"/>
    <col min="11" max="11" width="0.82421875" style="109" customWidth="1"/>
    <col min="12" max="12" width="3.5" style="109" customWidth="1"/>
    <col min="13" max="13" width="3.33203125" style="109" customWidth="1"/>
    <col min="14" max="14" width="2.33203125" style="109" customWidth="1"/>
    <col min="15" max="15" width="14.83203125" style="109" customWidth="1"/>
    <col min="16" max="16" width="3.33203125" style="109" customWidth="1"/>
    <col min="17" max="17" width="2.33203125" style="109" customWidth="1"/>
    <col min="18" max="18" width="18.66015625" style="109" customWidth="1"/>
    <col min="19" max="19" width="0.65625" style="109" customWidth="1"/>
    <col min="20" max="22" width="9.33203125" style="109" customWidth="1"/>
    <col min="23" max="23" width="14" style="109" bestFit="1" customWidth="1"/>
    <col min="24" max="16384" width="9.33203125" style="109" customWidth="1"/>
  </cols>
  <sheetData>
    <row r="1" spans="1:19" ht="12" customHeight="1">
      <c r="A1" s="343" t="s">
        <v>302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</row>
    <row r="2" spans="1:19" ht="23.25" customHeigh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</row>
    <row r="3" spans="1:19" ht="12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</row>
    <row r="4" spans="1:19" ht="8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19" ht="15" customHeight="1">
      <c r="A5" s="113"/>
      <c r="B5" s="114" t="s">
        <v>192</v>
      </c>
      <c r="C5" s="114"/>
      <c r="D5" s="114"/>
      <c r="E5" s="115" t="s">
        <v>251</v>
      </c>
      <c r="F5" s="116"/>
      <c r="G5" s="116"/>
      <c r="H5" s="116"/>
      <c r="I5" s="116"/>
      <c r="J5" s="117"/>
      <c r="K5" s="114"/>
      <c r="L5" s="114"/>
      <c r="M5" s="114"/>
      <c r="N5" s="114"/>
      <c r="O5" s="114" t="s">
        <v>193</v>
      </c>
      <c r="P5" s="115" t="s">
        <v>194</v>
      </c>
      <c r="Q5" s="118"/>
      <c r="R5" s="117"/>
      <c r="S5" s="119"/>
    </row>
    <row r="6" spans="1:19" ht="17.25" customHeight="1" hidden="1">
      <c r="A6" s="113"/>
      <c r="B6" s="114" t="s">
        <v>195</v>
      </c>
      <c r="C6" s="114"/>
      <c r="D6" s="114"/>
      <c r="E6" s="120" t="s">
        <v>196</v>
      </c>
      <c r="F6" s="114"/>
      <c r="G6" s="114"/>
      <c r="H6" s="114"/>
      <c r="I6" s="114"/>
      <c r="J6" s="121"/>
      <c r="K6" s="114"/>
      <c r="L6" s="114"/>
      <c r="M6" s="114"/>
      <c r="N6" s="114"/>
      <c r="O6" s="114"/>
      <c r="P6" s="122"/>
      <c r="Q6" s="123"/>
      <c r="R6" s="121"/>
      <c r="S6" s="119"/>
    </row>
    <row r="7" spans="1:19" ht="17.25" customHeight="1">
      <c r="A7" s="113"/>
      <c r="B7" s="114" t="s">
        <v>197</v>
      </c>
      <c r="C7" s="114"/>
      <c r="D7" s="114"/>
      <c r="E7" s="285" t="s">
        <v>287</v>
      </c>
      <c r="F7" s="114"/>
      <c r="G7" s="114"/>
      <c r="H7" s="114"/>
      <c r="I7" s="114"/>
      <c r="J7" s="121"/>
      <c r="K7" s="114"/>
      <c r="L7" s="114"/>
      <c r="M7" s="114"/>
      <c r="N7" s="114"/>
      <c r="O7" s="114" t="s">
        <v>198</v>
      </c>
      <c r="P7" s="120"/>
      <c r="Q7" s="123"/>
      <c r="R7" s="121"/>
      <c r="S7" s="119"/>
    </row>
    <row r="8" spans="1:19" ht="17.25" customHeight="1" hidden="1">
      <c r="A8" s="113"/>
      <c r="B8" s="114" t="s">
        <v>199</v>
      </c>
      <c r="C8" s="114"/>
      <c r="D8" s="114"/>
      <c r="E8" s="124" t="s">
        <v>194</v>
      </c>
      <c r="F8" s="114"/>
      <c r="G8" s="114"/>
      <c r="H8" s="114"/>
      <c r="I8" s="114"/>
      <c r="J8" s="121"/>
      <c r="K8" s="114"/>
      <c r="L8" s="114"/>
      <c r="M8" s="114"/>
      <c r="N8" s="114"/>
      <c r="O8" s="114"/>
      <c r="P8" s="122"/>
      <c r="Q8" s="123"/>
      <c r="R8" s="121"/>
      <c r="S8" s="119"/>
    </row>
    <row r="9" spans="1:19" ht="17.25" customHeight="1">
      <c r="A9" s="113"/>
      <c r="B9" s="114" t="s">
        <v>200</v>
      </c>
      <c r="C9" s="114"/>
      <c r="D9" s="114"/>
      <c r="E9" s="125" t="s">
        <v>201</v>
      </c>
      <c r="F9" s="126"/>
      <c r="G9" s="126"/>
      <c r="H9" s="126"/>
      <c r="I9" s="126"/>
      <c r="J9" s="127"/>
      <c r="K9" s="114"/>
      <c r="L9" s="114"/>
      <c r="M9" s="114"/>
      <c r="N9" s="114"/>
      <c r="O9" s="114" t="s">
        <v>202</v>
      </c>
      <c r="P9" s="128" t="s">
        <v>266</v>
      </c>
      <c r="Q9" s="129"/>
      <c r="R9" s="127"/>
      <c r="S9" s="119"/>
    </row>
    <row r="10" spans="1:19" ht="17.25" customHeight="1" hidden="1">
      <c r="A10" s="113"/>
      <c r="B10" s="114" t="s">
        <v>203</v>
      </c>
      <c r="C10" s="114"/>
      <c r="D10" s="114"/>
      <c r="E10" s="130" t="s">
        <v>194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23"/>
      <c r="Q10" s="123"/>
      <c r="R10" s="114"/>
      <c r="S10" s="119"/>
    </row>
    <row r="11" spans="1:19" ht="17.25" customHeight="1" hidden="1">
      <c r="A11" s="113"/>
      <c r="B11" s="114" t="s">
        <v>204</v>
      </c>
      <c r="C11" s="114"/>
      <c r="D11" s="114"/>
      <c r="E11" s="130" t="s">
        <v>194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3"/>
      <c r="Q11" s="123"/>
      <c r="R11" s="114"/>
      <c r="S11" s="119"/>
    </row>
    <row r="12" spans="1:19" ht="17.25" customHeight="1" hidden="1">
      <c r="A12" s="113"/>
      <c r="B12" s="114" t="s">
        <v>205</v>
      </c>
      <c r="C12" s="114"/>
      <c r="D12" s="114"/>
      <c r="E12" s="130" t="s">
        <v>194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23"/>
      <c r="Q12" s="123"/>
      <c r="R12" s="114"/>
      <c r="S12" s="119"/>
    </row>
    <row r="13" spans="1:19" ht="17.25" customHeight="1" hidden="1">
      <c r="A13" s="113"/>
      <c r="B13" s="114"/>
      <c r="C13" s="114"/>
      <c r="D13" s="114"/>
      <c r="E13" s="130" t="s">
        <v>194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23"/>
      <c r="Q13" s="123"/>
      <c r="R13" s="114"/>
      <c r="S13" s="119"/>
    </row>
    <row r="14" spans="1:19" ht="17.25" customHeight="1" hidden="1">
      <c r="A14" s="113"/>
      <c r="B14" s="114"/>
      <c r="C14" s="114"/>
      <c r="D14" s="114"/>
      <c r="E14" s="130" t="s">
        <v>194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23"/>
      <c r="Q14" s="123"/>
      <c r="R14" s="114"/>
      <c r="S14" s="119"/>
    </row>
    <row r="15" spans="1:19" ht="17.25" customHeight="1" hidden="1">
      <c r="A15" s="113"/>
      <c r="B15" s="114"/>
      <c r="C15" s="114"/>
      <c r="D15" s="114"/>
      <c r="E15" s="130" t="s">
        <v>194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23"/>
      <c r="Q15" s="123"/>
      <c r="R15" s="114"/>
      <c r="S15" s="119"/>
    </row>
    <row r="16" spans="1:19" ht="17.25" customHeight="1" hidden="1">
      <c r="A16" s="113"/>
      <c r="B16" s="114"/>
      <c r="C16" s="114"/>
      <c r="D16" s="114"/>
      <c r="E16" s="130" t="s">
        <v>194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23"/>
      <c r="Q16" s="123"/>
      <c r="R16" s="114"/>
      <c r="S16" s="119"/>
    </row>
    <row r="17" spans="1:19" ht="17.25" customHeight="1" hidden="1">
      <c r="A17" s="113"/>
      <c r="B17" s="114"/>
      <c r="C17" s="114"/>
      <c r="D17" s="114"/>
      <c r="E17" s="130" t="s">
        <v>194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23"/>
      <c r="Q17" s="123"/>
      <c r="R17" s="114"/>
      <c r="S17" s="119"/>
    </row>
    <row r="18" spans="1:19" ht="17.25" customHeight="1" hidden="1">
      <c r="A18" s="113"/>
      <c r="B18" s="114"/>
      <c r="C18" s="114"/>
      <c r="D18" s="114"/>
      <c r="E18" s="130" t="s">
        <v>194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23"/>
      <c r="Q18" s="123"/>
      <c r="R18" s="114"/>
      <c r="S18" s="119"/>
    </row>
    <row r="19" spans="1:19" ht="17.25" customHeight="1" hidden="1">
      <c r="A19" s="113"/>
      <c r="B19" s="114"/>
      <c r="C19" s="114"/>
      <c r="D19" s="114"/>
      <c r="E19" s="130" t="s">
        <v>194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23"/>
      <c r="Q19" s="123"/>
      <c r="R19" s="114"/>
      <c r="S19" s="119"/>
    </row>
    <row r="20" spans="1:19" ht="17.25" customHeight="1" hidden="1">
      <c r="A20" s="113"/>
      <c r="B20" s="114"/>
      <c r="C20" s="114"/>
      <c r="D20" s="114"/>
      <c r="E20" s="130" t="s">
        <v>194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23"/>
      <c r="Q20" s="123"/>
      <c r="R20" s="114"/>
      <c r="S20" s="119"/>
    </row>
    <row r="21" spans="1:19" ht="17.25" customHeight="1" hidden="1">
      <c r="A21" s="113"/>
      <c r="B21" s="114"/>
      <c r="C21" s="114"/>
      <c r="D21" s="114"/>
      <c r="E21" s="130" t="s">
        <v>194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23"/>
      <c r="Q21" s="123"/>
      <c r="R21" s="114"/>
      <c r="S21" s="119"/>
    </row>
    <row r="22" spans="1:19" ht="17.25" customHeight="1" hidden="1">
      <c r="A22" s="113"/>
      <c r="B22" s="114"/>
      <c r="C22" s="114"/>
      <c r="D22" s="114"/>
      <c r="E22" s="130" t="s">
        <v>194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23"/>
      <c r="Q22" s="123"/>
      <c r="R22" s="114"/>
      <c r="S22" s="119"/>
    </row>
    <row r="23" spans="1:19" ht="17.25" customHeight="1" hidden="1">
      <c r="A23" s="113"/>
      <c r="B23" s="114"/>
      <c r="C23" s="114"/>
      <c r="D23" s="114"/>
      <c r="E23" s="130" t="s">
        <v>194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23"/>
      <c r="Q23" s="123"/>
      <c r="R23" s="114"/>
      <c r="S23" s="119"/>
    </row>
    <row r="24" spans="1:19" ht="17.25" customHeight="1" hidden="1">
      <c r="A24" s="113"/>
      <c r="B24" s="114"/>
      <c r="C24" s="114"/>
      <c r="D24" s="114"/>
      <c r="E24" s="130" t="s">
        <v>194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23"/>
      <c r="Q24" s="123"/>
      <c r="R24" s="114"/>
      <c r="S24" s="119"/>
    </row>
    <row r="25" spans="1:19" ht="17.2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 t="s">
        <v>206</v>
      </c>
      <c r="P25" s="114" t="s">
        <v>207</v>
      </c>
      <c r="Q25" s="114"/>
      <c r="R25" s="114"/>
      <c r="S25" s="119"/>
    </row>
    <row r="26" spans="1:19" ht="17.25" customHeight="1">
      <c r="A26" s="113"/>
      <c r="B26" s="114" t="s">
        <v>208</v>
      </c>
      <c r="C26" s="114"/>
      <c r="D26" s="114"/>
      <c r="E26" s="115" t="s">
        <v>252</v>
      </c>
      <c r="F26" s="116"/>
      <c r="G26" s="116"/>
      <c r="H26" s="116"/>
      <c r="I26" s="116"/>
      <c r="J26" s="117"/>
      <c r="K26" s="114"/>
      <c r="L26" s="114"/>
      <c r="M26" s="114"/>
      <c r="N26" s="114"/>
      <c r="O26" s="131"/>
      <c r="P26" s="132"/>
      <c r="Q26" s="133"/>
      <c r="R26" s="134"/>
      <c r="S26" s="119"/>
    </row>
    <row r="27" spans="1:19" ht="17.25" customHeight="1">
      <c r="A27" s="113"/>
      <c r="B27" s="114" t="s">
        <v>209</v>
      </c>
      <c r="C27" s="114"/>
      <c r="D27" s="114"/>
      <c r="E27" s="120" t="s">
        <v>253</v>
      </c>
      <c r="F27" s="114"/>
      <c r="G27" s="114"/>
      <c r="H27" s="114"/>
      <c r="I27" s="114"/>
      <c r="J27" s="121"/>
      <c r="K27" s="114"/>
      <c r="L27" s="114"/>
      <c r="M27" s="114"/>
      <c r="N27" s="114"/>
      <c r="O27" s="131"/>
      <c r="P27" s="132"/>
      <c r="Q27" s="133"/>
      <c r="R27" s="134"/>
      <c r="S27" s="119"/>
    </row>
    <row r="28" spans="1:19" ht="17.25" customHeight="1">
      <c r="A28" s="113"/>
      <c r="B28" s="114" t="s">
        <v>210</v>
      </c>
      <c r="C28" s="114"/>
      <c r="D28" s="114"/>
      <c r="E28" s="120" t="s">
        <v>211</v>
      </c>
      <c r="F28" s="114"/>
      <c r="G28" s="114"/>
      <c r="H28" s="114"/>
      <c r="I28" s="114"/>
      <c r="J28" s="121"/>
      <c r="K28" s="114"/>
      <c r="L28" s="114"/>
      <c r="M28" s="114"/>
      <c r="N28" s="114"/>
      <c r="O28" s="131"/>
      <c r="P28" s="132"/>
      <c r="Q28" s="133"/>
      <c r="R28" s="134"/>
      <c r="S28" s="119"/>
    </row>
    <row r="29" spans="1:19" ht="17.25" customHeight="1">
      <c r="A29" s="113"/>
      <c r="B29" s="114"/>
      <c r="C29" s="114"/>
      <c r="D29" s="114"/>
      <c r="E29" s="128"/>
      <c r="F29" s="126"/>
      <c r="G29" s="126"/>
      <c r="H29" s="126"/>
      <c r="I29" s="126"/>
      <c r="J29" s="127"/>
      <c r="K29" s="114"/>
      <c r="L29" s="114"/>
      <c r="M29" s="114"/>
      <c r="N29" s="114"/>
      <c r="O29" s="123"/>
      <c r="P29" s="123"/>
      <c r="Q29" s="123"/>
      <c r="R29" s="114"/>
      <c r="S29" s="119"/>
    </row>
    <row r="30" spans="1:19" ht="17.25" customHeight="1">
      <c r="A30" s="113"/>
      <c r="B30" s="114"/>
      <c r="C30" s="114"/>
      <c r="D30" s="114"/>
      <c r="E30" s="135" t="s">
        <v>212</v>
      </c>
      <c r="F30" s="114"/>
      <c r="G30" s="114" t="s">
        <v>213</v>
      </c>
      <c r="H30" s="114"/>
      <c r="I30" s="114"/>
      <c r="J30" s="114"/>
      <c r="K30" s="114"/>
      <c r="L30" s="114"/>
      <c r="M30" s="114"/>
      <c r="N30" s="114"/>
      <c r="O30" s="135" t="s">
        <v>214</v>
      </c>
      <c r="P30" s="123"/>
      <c r="Q30" s="123"/>
      <c r="R30" s="136"/>
      <c r="S30" s="119"/>
    </row>
    <row r="31" spans="1:19" ht="17.25" customHeight="1">
      <c r="A31" s="113"/>
      <c r="B31" s="114"/>
      <c r="C31" s="114"/>
      <c r="D31" s="114"/>
      <c r="E31" s="131">
        <v>897879798</v>
      </c>
      <c r="F31" s="114"/>
      <c r="G31" s="132" t="s">
        <v>215</v>
      </c>
      <c r="H31" s="137"/>
      <c r="I31" s="138"/>
      <c r="J31" s="114"/>
      <c r="K31" s="114"/>
      <c r="L31" s="114"/>
      <c r="M31" s="114"/>
      <c r="N31" s="114"/>
      <c r="O31" s="284" t="s">
        <v>286</v>
      </c>
      <c r="P31" s="123"/>
      <c r="Q31" s="123"/>
      <c r="R31" s="139"/>
      <c r="S31" s="119"/>
    </row>
    <row r="32" spans="1:19" ht="8.2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</row>
    <row r="33" spans="1:19" ht="20.25" customHeight="1">
      <c r="A33" s="143"/>
      <c r="B33" s="144"/>
      <c r="C33" s="144"/>
      <c r="D33" s="144"/>
      <c r="E33" s="145" t="s">
        <v>216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6"/>
    </row>
    <row r="34" spans="1:19" ht="20.25" customHeight="1">
      <c r="A34" s="147" t="s">
        <v>217</v>
      </c>
      <c r="B34" s="148"/>
      <c r="C34" s="148"/>
      <c r="D34" s="149"/>
      <c r="E34" s="150" t="s">
        <v>218</v>
      </c>
      <c r="F34" s="149"/>
      <c r="G34" s="150" t="s">
        <v>219</v>
      </c>
      <c r="H34" s="148"/>
      <c r="I34" s="149"/>
      <c r="J34" s="150" t="s">
        <v>220</v>
      </c>
      <c r="K34" s="148"/>
      <c r="L34" s="150" t="s">
        <v>221</v>
      </c>
      <c r="M34" s="148"/>
      <c r="N34" s="148"/>
      <c r="O34" s="149"/>
      <c r="P34" s="150" t="s">
        <v>222</v>
      </c>
      <c r="Q34" s="148"/>
      <c r="R34" s="148"/>
      <c r="S34" s="151"/>
    </row>
    <row r="35" spans="1:19" ht="20.25" customHeight="1">
      <c r="A35" s="152"/>
      <c r="B35" s="153"/>
      <c r="C35" s="153"/>
      <c r="D35" s="154">
        <v>0</v>
      </c>
      <c r="E35" s="155">
        <f>IF(D35=0,0,#REF!/D35)</f>
        <v>0</v>
      </c>
      <c r="F35" s="156"/>
      <c r="G35" s="157"/>
      <c r="H35" s="153"/>
      <c r="I35" s="154">
        <v>0</v>
      </c>
      <c r="J35" s="155">
        <f>IF(I35=0,0,#REF!/I35)</f>
        <v>0</v>
      </c>
      <c r="K35" s="158"/>
      <c r="L35" s="157"/>
      <c r="M35" s="153"/>
      <c r="N35" s="153"/>
      <c r="O35" s="154">
        <v>0</v>
      </c>
      <c r="P35" s="157"/>
      <c r="Q35" s="153"/>
      <c r="R35" s="159">
        <f>IF(O35=0,0,#REF!/O35)</f>
        <v>0</v>
      </c>
      <c r="S35" s="160"/>
    </row>
    <row r="36" spans="1:19" ht="20.25" customHeight="1">
      <c r="A36" s="143"/>
      <c r="B36" s="144"/>
      <c r="C36" s="144"/>
      <c r="D36" s="144"/>
      <c r="E36" s="145" t="s">
        <v>223</v>
      </c>
      <c r="F36" s="144"/>
      <c r="G36" s="144"/>
      <c r="H36" s="144"/>
      <c r="I36" s="144"/>
      <c r="J36" s="161" t="s">
        <v>224</v>
      </c>
      <c r="K36" s="144"/>
      <c r="L36" s="144"/>
      <c r="M36" s="144"/>
      <c r="N36" s="144"/>
      <c r="O36" s="144"/>
      <c r="P36" s="144"/>
      <c r="Q36" s="144"/>
      <c r="R36" s="144"/>
      <c r="S36" s="146"/>
    </row>
    <row r="38" spans="1:17" ht="10.5" customHeight="1">
      <c r="A38" s="352" t="s">
        <v>299</v>
      </c>
      <c r="B38" s="352"/>
      <c r="C38" s="352"/>
      <c r="D38" s="352"/>
      <c r="E38" s="352"/>
      <c r="L38" s="352" t="s">
        <v>298</v>
      </c>
      <c r="M38" s="352"/>
      <c r="N38" s="352"/>
      <c r="O38" s="352"/>
      <c r="P38" s="352"/>
      <c r="Q38" s="352"/>
    </row>
    <row r="39" spans="1:17" ht="10.5" customHeight="1">
      <c r="A39" s="352"/>
      <c r="B39" s="352"/>
      <c r="C39" s="352"/>
      <c r="D39" s="352"/>
      <c r="E39" s="352"/>
      <c r="L39" s="352"/>
      <c r="M39" s="352"/>
      <c r="N39" s="352"/>
      <c r="O39" s="352"/>
      <c r="P39" s="352"/>
      <c r="Q39" s="352"/>
    </row>
    <row r="40" spans="1:17" ht="10.5">
      <c r="A40" s="352"/>
      <c r="B40" s="352"/>
      <c r="C40" s="352"/>
      <c r="D40" s="352"/>
      <c r="E40" s="352"/>
      <c r="L40" s="352"/>
      <c r="M40" s="352"/>
      <c r="N40" s="352"/>
      <c r="O40" s="352"/>
      <c r="P40" s="352"/>
      <c r="Q40" s="352"/>
    </row>
    <row r="41" spans="1:17" ht="15" customHeight="1">
      <c r="A41" s="335" t="s">
        <v>303</v>
      </c>
      <c r="B41" s="331"/>
      <c r="C41" s="331"/>
      <c r="D41" s="331"/>
      <c r="E41" s="331"/>
      <c r="L41" s="331" t="str">
        <f>A41</f>
        <v>Cena celkem bez DPH</v>
      </c>
      <c r="M41" s="331"/>
      <c r="N41" s="331"/>
      <c r="O41" s="331"/>
      <c r="P41" s="331"/>
      <c r="Q41" s="331"/>
    </row>
    <row r="42" spans="1:17" ht="20.25" customHeight="1">
      <c r="A42" s="334">
        <f>'Krycí list MNP'!R47</f>
        <v>-38037.55</v>
      </c>
      <c r="B42" s="334"/>
      <c r="C42" s="334"/>
      <c r="D42" s="334"/>
      <c r="E42" s="334"/>
      <c r="L42" s="353">
        <f>'Krycí list VCP 1'!R47+'Krycí list VCP 2'!R47</f>
        <v>157763.53</v>
      </c>
      <c r="M42" s="354"/>
      <c r="N42" s="354"/>
      <c r="O42" s="354"/>
      <c r="P42" s="354"/>
      <c r="Q42" s="354"/>
    </row>
    <row r="43" spans="1:17" ht="10.5">
      <c r="A43" s="335" t="s">
        <v>304</v>
      </c>
      <c r="B43" s="331"/>
      <c r="C43" s="331"/>
      <c r="D43" s="331"/>
      <c r="E43" s="331"/>
      <c r="L43" s="331" t="str">
        <f>A43</f>
        <v>DPH 21%</v>
      </c>
      <c r="M43" s="331"/>
      <c r="N43" s="331"/>
      <c r="O43" s="331"/>
      <c r="P43" s="331"/>
      <c r="Q43" s="331"/>
    </row>
    <row r="44" spans="1:23" ht="23.25" customHeight="1">
      <c r="A44" s="334">
        <f>'Krycí list MNP'!R49</f>
        <v>-7987.900000000001</v>
      </c>
      <c r="B44" s="334"/>
      <c r="C44" s="334"/>
      <c r="D44" s="334"/>
      <c r="E44" s="334"/>
      <c r="L44" s="341">
        <f>'Krycí list VCP 1'!R49</f>
        <v>28478.1</v>
      </c>
      <c r="M44" s="341"/>
      <c r="N44" s="341"/>
      <c r="O44" s="341"/>
      <c r="P44" s="341"/>
      <c r="Q44" s="341"/>
      <c r="W44" s="306"/>
    </row>
    <row r="45" spans="1:17" ht="18.75" customHeight="1">
      <c r="A45" s="335" t="s">
        <v>305</v>
      </c>
      <c r="B45" s="331"/>
      <c r="C45" s="331"/>
      <c r="D45" s="331"/>
      <c r="E45" s="331"/>
      <c r="L45" s="331" t="str">
        <f>A45</f>
        <v>Cena celkem s DPH</v>
      </c>
      <c r="M45" s="331"/>
      <c r="N45" s="331"/>
      <c r="O45" s="331"/>
      <c r="P45" s="331"/>
      <c r="Q45" s="331"/>
    </row>
    <row r="46" spans="1:17" ht="24.75" customHeight="1">
      <c r="A46" s="334">
        <f>'Krycí list MNP'!R50</f>
        <v>-46025.450000000004</v>
      </c>
      <c r="B46" s="334"/>
      <c r="C46" s="334"/>
      <c r="D46" s="334"/>
      <c r="E46" s="334"/>
      <c r="L46" s="341">
        <f>'Krycí list VCP 1'!R50</f>
        <v>164088.03</v>
      </c>
      <c r="M46" s="341"/>
      <c r="N46" s="341"/>
      <c r="O46" s="341"/>
      <c r="P46" s="341"/>
      <c r="Q46" s="341"/>
    </row>
    <row r="47" spans="1:18" ht="27.75" customHeight="1">
      <c r="A47" s="342" t="s">
        <v>306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</row>
    <row r="48" spans="5:15" ht="10.5"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</row>
    <row r="49" spans="5:15" ht="10.5"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</row>
    <row r="50" spans="5:15" ht="10.5" customHeight="1">
      <c r="E50" s="332" t="str">
        <f>L41</f>
        <v>Cena celkem bez DPH</v>
      </c>
      <c r="F50" s="332"/>
      <c r="G50" s="332"/>
      <c r="H50" s="332"/>
      <c r="I50" s="332"/>
      <c r="J50" s="333">
        <f>L42+A42</f>
        <v>119725.98</v>
      </c>
      <c r="K50" s="333"/>
      <c r="L50" s="333"/>
      <c r="M50" s="333"/>
      <c r="N50" s="333"/>
      <c r="O50" s="333"/>
    </row>
    <row r="51" spans="5:15" ht="10.5" customHeight="1">
      <c r="E51" s="332"/>
      <c r="F51" s="332"/>
      <c r="G51" s="332"/>
      <c r="H51" s="332"/>
      <c r="I51" s="332"/>
      <c r="J51" s="333"/>
      <c r="K51" s="333"/>
      <c r="L51" s="333"/>
      <c r="M51" s="333"/>
      <c r="N51" s="333"/>
      <c r="O51" s="333"/>
    </row>
    <row r="52" spans="5:15" ht="10.5" customHeight="1">
      <c r="E52" s="332"/>
      <c r="F52" s="332"/>
      <c r="G52" s="332"/>
      <c r="H52" s="332"/>
      <c r="I52" s="332"/>
      <c r="J52" s="333"/>
      <c r="K52" s="333"/>
      <c r="L52" s="333"/>
      <c r="M52" s="333"/>
      <c r="N52" s="333"/>
      <c r="O52" s="333"/>
    </row>
    <row r="54" spans="5:15" ht="10.5">
      <c r="E54" s="336" t="str">
        <f>L43</f>
        <v>DPH 21%</v>
      </c>
      <c r="F54" s="336"/>
      <c r="G54" s="336"/>
      <c r="H54" s="336"/>
      <c r="I54" s="336"/>
      <c r="J54" s="337">
        <f>J50*0.21</f>
        <v>25142.4558</v>
      </c>
      <c r="K54" s="336"/>
      <c r="L54" s="336"/>
      <c r="M54" s="336"/>
      <c r="N54" s="336"/>
      <c r="O54" s="336"/>
    </row>
    <row r="55" spans="5:15" ht="10.5"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</row>
    <row r="58" spans="5:15" ht="10.5">
      <c r="E58" s="338" t="str">
        <f>L45</f>
        <v>Cena celkem s DPH</v>
      </c>
      <c r="F58" s="338"/>
      <c r="G58" s="338"/>
      <c r="H58" s="338"/>
      <c r="I58" s="338"/>
      <c r="J58" s="339">
        <f>J50+J54</f>
        <v>144868.4358</v>
      </c>
      <c r="K58" s="340"/>
      <c r="L58" s="340"/>
      <c r="M58" s="340"/>
      <c r="N58" s="340"/>
      <c r="O58" s="340"/>
    </row>
    <row r="59" spans="5:15" ht="10.5">
      <c r="E59" s="338"/>
      <c r="F59" s="338"/>
      <c r="G59" s="338"/>
      <c r="H59" s="338"/>
      <c r="I59" s="338"/>
      <c r="J59" s="340"/>
      <c r="K59" s="340"/>
      <c r="L59" s="340"/>
      <c r="M59" s="340"/>
      <c r="N59" s="340"/>
      <c r="O59" s="340"/>
    </row>
    <row r="60" spans="5:15" ht="10.5">
      <c r="E60" s="338"/>
      <c r="F60" s="338"/>
      <c r="G60" s="338"/>
      <c r="H60" s="338"/>
      <c r="I60" s="338"/>
      <c r="J60" s="340"/>
      <c r="K60" s="340"/>
      <c r="L60" s="340"/>
      <c r="M60" s="340"/>
      <c r="N60" s="340"/>
      <c r="O60" s="340"/>
    </row>
  </sheetData>
  <sheetProtection/>
  <mergeCells count="23">
    <mergeCell ref="A1:S3"/>
    <mergeCell ref="L38:Q40"/>
    <mergeCell ref="A38:E40"/>
    <mergeCell ref="L41:Q41"/>
    <mergeCell ref="L42:Q42"/>
    <mergeCell ref="L43:Q43"/>
    <mergeCell ref="A41:E41"/>
    <mergeCell ref="E54:I55"/>
    <mergeCell ref="J54:O55"/>
    <mergeCell ref="E58:I60"/>
    <mergeCell ref="J58:O60"/>
    <mergeCell ref="L45:Q45"/>
    <mergeCell ref="L46:Q46"/>
    <mergeCell ref="A47:R47"/>
    <mergeCell ref="A45:E45"/>
    <mergeCell ref="A46:E46"/>
    <mergeCell ref="E48:O49"/>
    <mergeCell ref="E50:I52"/>
    <mergeCell ref="J50:O52"/>
    <mergeCell ref="A42:E42"/>
    <mergeCell ref="A43:E43"/>
    <mergeCell ref="A44:E44"/>
    <mergeCell ref="L44:Q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G44" sqref="G44"/>
    </sheetView>
  </sheetViews>
  <sheetFormatPr defaultColWidth="9.33203125" defaultRowHeight="11.25" customHeight="1"/>
  <cols>
    <col min="1" max="1" width="6.5" style="527" customWidth="1"/>
    <col min="2" max="2" width="5.16015625" style="527" customWidth="1"/>
    <col min="3" max="3" width="5.5" style="527" customWidth="1"/>
    <col min="4" max="4" width="14.83203125" style="527" customWidth="1"/>
    <col min="5" max="5" width="64.83203125" style="527" customWidth="1"/>
    <col min="6" max="6" width="5.5" style="527" customWidth="1"/>
    <col min="7" max="7" width="11.5" style="527" customWidth="1"/>
    <col min="8" max="8" width="13.83203125" style="527" customWidth="1"/>
    <col min="9" max="9" width="15.83203125" style="527" customWidth="1"/>
    <col min="10" max="10" width="12.33203125" style="527" hidden="1" customWidth="1"/>
    <col min="11" max="11" width="12.66015625" style="527" hidden="1" customWidth="1"/>
    <col min="12" max="12" width="11.33203125" style="527" hidden="1" customWidth="1"/>
    <col min="13" max="13" width="13.5" style="527" hidden="1" customWidth="1"/>
    <col min="14" max="14" width="8.16015625" style="527" hidden="1" customWidth="1"/>
    <col min="15" max="15" width="8.5" style="527" hidden="1" customWidth="1"/>
    <col min="16" max="16384" width="9.33203125" style="527" customWidth="1"/>
  </cols>
  <sheetData>
    <row r="1" spans="1:15" ht="18" customHeight="1">
      <c r="A1" s="525" t="s">
        <v>319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5" ht="11.25" customHeight="1">
      <c r="A2" s="528" t="s">
        <v>320</v>
      </c>
      <c r="B2" s="529"/>
      <c r="C2" s="529" t="str">
        <f>'[1]Krycí list'!E5</f>
        <v>Nové Hamry - VCP II</v>
      </c>
      <c r="D2" s="529"/>
      <c r="E2" s="529"/>
      <c r="F2" s="529"/>
      <c r="G2" s="529"/>
      <c r="H2" s="529"/>
      <c r="I2" s="529"/>
      <c r="J2" s="529"/>
      <c r="K2" s="529"/>
      <c r="L2" s="526"/>
      <c r="M2" s="526"/>
      <c r="N2" s="526"/>
      <c r="O2" s="526"/>
    </row>
    <row r="3" spans="1:15" ht="11.25" customHeight="1">
      <c r="A3" s="528" t="s">
        <v>321</v>
      </c>
      <c r="B3" s="529"/>
      <c r="C3" s="529" t="s">
        <v>322</v>
      </c>
      <c r="D3" s="529"/>
      <c r="E3" s="529"/>
      <c r="F3" s="529"/>
      <c r="G3" s="529"/>
      <c r="H3" s="529"/>
      <c r="I3" s="529"/>
      <c r="J3" s="529"/>
      <c r="K3" s="529"/>
      <c r="L3" s="526"/>
      <c r="M3" s="526"/>
      <c r="N3" s="526"/>
      <c r="O3" s="526"/>
    </row>
    <row r="4" spans="1:15" ht="11.25" customHeight="1">
      <c r="A4" s="528" t="s">
        <v>323</v>
      </c>
      <c r="B4" s="529"/>
      <c r="C4" s="529" t="str">
        <f>'[1]Krycí list'!E9</f>
        <v> </v>
      </c>
      <c r="D4" s="529"/>
      <c r="E4" s="529"/>
      <c r="F4" s="529"/>
      <c r="G4" s="529"/>
      <c r="H4" s="529"/>
      <c r="I4" s="529"/>
      <c r="J4" s="529"/>
      <c r="K4" s="529"/>
      <c r="L4" s="526"/>
      <c r="M4" s="526"/>
      <c r="N4" s="526"/>
      <c r="O4" s="526"/>
    </row>
    <row r="5" spans="1:15" ht="11.25" customHeight="1">
      <c r="A5" s="529" t="s">
        <v>324</v>
      </c>
      <c r="B5" s="529"/>
      <c r="C5" s="529" t="str">
        <f>'[1]Krycí list'!P5</f>
        <v> </v>
      </c>
      <c r="D5" s="529"/>
      <c r="E5" s="529"/>
      <c r="F5" s="529"/>
      <c r="G5" s="529"/>
      <c r="H5" s="529"/>
      <c r="I5" s="529"/>
      <c r="J5" s="529"/>
      <c r="K5" s="529"/>
      <c r="L5" s="526"/>
      <c r="M5" s="526"/>
      <c r="N5" s="526"/>
      <c r="O5" s="526"/>
    </row>
    <row r="6" spans="1:15" ht="6" customHeight="1">
      <c r="A6" s="529"/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6"/>
      <c r="M6" s="526"/>
      <c r="N6" s="526"/>
      <c r="O6" s="526"/>
    </row>
    <row r="7" spans="1:15" ht="11.25" customHeight="1">
      <c r="A7" s="529" t="s">
        <v>325</v>
      </c>
      <c r="B7" s="529"/>
      <c r="C7" s="529" t="str">
        <f>'[1]Krycí list'!E26</f>
        <v>OÚ Nové Hamry</v>
      </c>
      <c r="D7" s="529"/>
      <c r="E7" s="529"/>
      <c r="F7" s="529"/>
      <c r="G7" s="529"/>
      <c r="H7" s="529"/>
      <c r="I7" s="529"/>
      <c r="J7" s="529"/>
      <c r="K7" s="529"/>
      <c r="L7" s="526"/>
      <c r="M7" s="526"/>
      <c r="N7" s="526"/>
      <c r="O7" s="526"/>
    </row>
    <row r="8" spans="1:15" ht="11.25" customHeight="1">
      <c r="A8" s="529" t="s">
        <v>326</v>
      </c>
      <c r="B8" s="529"/>
      <c r="C8" s="529" t="str">
        <f>'[1]Krycí list'!E28</f>
        <v>VIDEST s.r.o.</v>
      </c>
      <c r="D8" s="529"/>
      <c r="E8" s="529"/>
      <c r="F8" s="529"/>
      <c r="G8" s="529"/>
      <c r="H8" s="529"/>
      <c r="I8" s="529"/>
      <c r="J8" s="529"/>
      <c r="K8" s="529"/>
      <c r="L8" s="526"/>
      <c r="M8" s="526"/>
      <c r="N8" s="526"/>
      <c r="O8" s="526"/>
    </row>
    <row r="9" spans="1:15" ht="11.25" customHeight="1">
      <c r="A9" s="529" t="s">
        <v>327</v>
      </c>
      <c r="B9" s="529"/>
      <c r="C9" s="529" t="s">
        <v>328</v>
      </c>
      <c r="D9" s="529"/>
      <c r="E9" s="529"/>
      <c r="F9" s="529"/>
      <c r="G9" s="529"/>
      <c r="H9" s="529"/>
      <c r="I9" s="529"/>
      <c r="J9" s="529"/>
      <c r="K9" s="529"/>
      <c r="L9" s="526"/>
      <c r="M9" s="526"/>
      <c r="N9" s="526"/>
      <c r="O9" s="526"/>
    </row>
    <row r="10" spans="1:15" ht="5.25" customHeight="1">
      <c r="A10" s="526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</row>
    <row r="11" spans="1:15" ht="21.75" customHeight="1">
      <c r="A11" s="530" t="s">
        <v>5</v>
      </c>
      <c r="B11" s="531" t="s">
        <v>329</v>
      </c>
      <c r="C11" s="531" t="s">
        <v>6</v>
      </c>
      <c r="D11" s="531" t="s">
        <v>7</v>
      </c>
      <c r="E11" s="531" t="s">
        <v>8</v>
      </c>
      <c r="F11" s="531" t="s">
        <v>9</v>
      </c>
      <c r="G11" s="531" t="s">
        <v>10</v>
      </c>
      <c r="H11" s="531" t="s">
        <v>330</v>
      </c>
      <c r="I11" s="531" t="s">
        <v>331</v>
      </c>
      <c r="J11" s="531" t="s">
        <v>332</v>
      </c>
      <c r="K11" s="531" t="s">
        <v>333</v>
      </c>
      <c r="L11" s="531" t="s">
        <v>334</v>
      </c>
      <c r="M11" s="531" t="s">
        <v>335</v>
      </c>
      <c r="N11" s="532" t="s">
        <v>336</v>
      </c>
      <c r="O11" s="533" t="s">
        <v>337</v>
      </c>
    </row>
    <row r="12" spans="1:15" ht="11.25" customHeight="1">
      <c r="A12" s="534">
        <v>1</v>
      </c>
      <c r="B12" s="535">
        <v>2</v>
      </c>
      <c r="C12" s="535">
        <v>3</v>
      </c>
      <c r="D12" s="535">
        <v>4</v>
      </c>
      <c r="E12" s="535">
        <v>5</v>
      </c>
      <c r="F12" s="535">
        <v>6</v>
      </c>
      <c r="G12" s="535">
        <v>7</v>
      </c>
      <c r="H12" s="535">
        <v>8</v>
      </c>
      <c r="I12" s="535">
        <v>9</v>
      </c>
      <c r="J12" s="535"/>
      <c r="K12" s="535"/>
      <c r="L12" s="535"/>
      <c r="M12" s="535"/>
      <c r="N12" s="536">
        <v>11</v>
      </c>
      <c r="O12" s="537">
        <v>12</v>
      </c>
    </row>
    <row r="13" spans="1:15" ht="3.75" customHeight="1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38"/>
    </row>
    <row r="14" spans="1:15" s="528" customFormat="1" ht="12.75" customHeight="1">
      <c r="A14" s="539"/>
      <c r="B14" s="540" t="s">
        <v>243</v>
      </c>
      <c r="C14" s="539"/>
      <c r="D14" s="539" t="s">
        <v>21</v>
      </c>
      <c r="E14" s="539" t="s">
        <v>338</v>
      </c>
      <c r="F14" s="539"/>
      <c r="G14" s="539"/>
      <c r="H14" s="541"/>
      <c r="I14" s="542"/>
      <c r="J14" s="539"/>
      <c r="K14" s="543" t="e">
        <f>K15+#REF!+#REF!+#REF!</f>
        <v>#REF!</v>
      </c>
      <c r="L14" s="539"/>
      <c r="M14" s="543" t="e">
        <f>M15+#REF!+#REF!+#REF!</f>
        <v>#REF!</v>
      </c>
      <c r="O14" s="528" t="s">
        <v>339</v>
      </c>
    </row>
    <row r="15" spans="2:15" s="528" customFormat="1" ht="12.75" customHeight="1">
      <c r="B15" s="544" t="s">
        <v>243</v>
      </c>
      <c r="D15" s="528" t="s">
        <v>13</v>
      </c>
      <c r="E15" s="528" t="s">
        <v>340</v>
      </c>
      <c r="H15" s="545"/>
      <c r="I15" s="546"/>
      <c r="K15" s="547">
        <f>SUM(K16:K20)</f>
        <v>0</v>
      </c>
      <c r="M15" s="547">
        <f>SUM(M16:M20)</f>
        <v>0</v>
      </c>
      <c r="O15" s="528" t="s">
        <v>13</v>
      </c>
    </row>
    <row r="16" spans="1:15" s="529" customFormat="1" ht="12.75" customHeight="1">
      <c r="A16" s="548" t="s">
        <v>15</v>
      </c>
      <c r="B16" s="548" t="s">
        <v>341</v>
      </c>
      <c r="C16" s="548" t="s">
        <v>24</v>
      </c>
      <c r="D16" s="529" t="s">
        <v>342</v>
      </c>
      <c r="E16" s="529" t="s">
        <v>343</v>
      </c>
      <c r="F16" s="548" t="s">
        <v>30</v>
      </c>
      <c r="G16" s="549">
        <f>7.6*0.7</f>
        <v>5.319999999999999</v>
      </c>
      <c r="H16" s="550">
        <v>145</v>
      </c>
      <c r="I16" s="550">
        <f aca="true" t="shared" si="0" ref="I16:I27">ROUND(G16*H16,2)</f>
        <v>771.4</v>
      </c>
      <c r="J16" s="551">
        <v>0</v>
      </c>
      <c r="K16" s="549">
        <f aca="true" t="shared" si="1" ref="K16:K27">G16*J16</f>
        <v>0</v>
      </c>
      <c r="L16" s="551">
        <v>0</v>
      </c>
      <c r="M16" s="549">
        <f aca="true" t="shared" si="2" ref="M16:M27">G16*L16</f>
        <v>0</v>
      </c>
      <c r="N16" s="552">
        <v>4</v>
      </c>
      <c r="O16" s="529" t="s">
        <v>14</v>
      </c>
    </row>
    <row r="17" spans="1:15" s="529" customFormat="1" ht="12.75" customHeight="1">
      <c r="A17" s="548" t="s">
        <v>16</v>
      </c>
      <c r="B17" s="548" t="s">
        <v>341</v>
      </c>
      <c r="C17" s="548" t="s">
        <v>24</v>
      </c>
      <c r="D17" s="529" t="s">
        <v>344</v>
      </c>
      <c r="E17" s="529" t="s">
        <v>345</v>
      </c>
      <c r="F17" s="548" t="s">
        <v>30</v>
      </c>
      <c r="G17" s="549">
        <f>G16/7*3</f>
        <v>2.28</v>
      </c>
      <c r="H17" s="550">
        <v>511</v>
      </c>
      <c r="I17" s="550">
        <f t="shared" si="0"/>
        <v>1165.08</v>
      </c>
      <c r="J17" s="551">
        <v>0</v>
      </c>
      <c r="K17" s="549">
        <f t="shared" si="1"/>
        <v>0</v>
      </c>
      <c r="L17" s="551">
        <v>0</v>
      </c>
      <c r="M17" s="549">
        <f t="shared" si="2"/>
        <v>0</v>
      </c>
      <c r="N17" s="552">
        <v>4</v>
      </c>
      <c r="O17" s="529" t="s">
        <v>14</v>
      </c>
    </row>
    <row r="18" spans="1:15" s="529" customFormat="1" ht="12.75" customHeight="1">
      <c r="A18" s="548" t="s">
        <v>17</v>
      </c>
      <c r="B18" s="548" t="s">
        <v>341</v>
      </c>
      <c r="C18" s="548" t="s">
        <v>24</v>
      </c>
      <c r="D18" s="529" t="s">
        <v>271</v>
      </c>
      <c r="E18" s="529" t="s">
        <v>346</v>
      </c>
      <c r="F18" s="548" t="s">
        <v>30</v>
      </c>
      <c r="G18" s="549">
        <f>G16+G17</f>
        <v>7.6</v>
      </c>
      <c r="H18" s="550">
        <v>69</v>
      </c>
      <c r="I18" s="550">
        <f t="shared" si="0"/>
        <v>524.4</v>
      </c>
      <c r="J18" s="551">
        <v>0</v>
      </c>
      <c r="K18" s="549">
        <f t="shared" si="1"/>
        <v>0</v>
      </c>
      <c r="L18" s="551">
        <v>0</v>
      </c>
      <c r="M18" s="549">
        <f t="shared" si="2"/>
        <v>0</v>
      </c>
      <c r="N18" s="552">
        <v>4</v>
      </c>
      <c r="O18" s="529" t="s">
        <v>14</v>
      </c>
    </row>
    <row r="19" spans="1:15" s="529" customFormat="1" ht="12.75" customHeight="1">
      <c r="A19" s="548" t="s">
        <v>19</v>
      </c>
      <c r="B19" s="548" t="s">
        <v>341</v>
      </c>
      <c r="C19" s="548" t="s">
        <v>24</v>
      </c>
      <c r="D19" s="529" t="s">
        <v>137</v>
      </c>
      <c r="E19" s="529" t="s">
        <v>347</v>
      </c>
      <c r="F19" s="548" t="s">
        <v>30</v>
      </c>
      <c r="G19" s="549">
        <f>(G16+G17)-G21-G22</f>
        <v>4.749999999999999</v>
      </c>
      <c r="H19" s="550">
        <v>90</v>
      </c>
      <c r="I19" s="550">
        <f t="shared" si="0"/>
        <v>427.5</v>
      </c>
      <c r="J19" s="551">
        <v>0</v>
      </c>
      <c r="K19" s="549">
        <f t="shared" si="1"/>
        <v>0</v>
      </c>
      <c r="L19" s="551">
        <v>0</v>
      </c>
      <c r="M19" s="549">
        <f t="shared" si="2"/>
        <v>0</v>
      </c>
      <c r="N19" s="552">
        <v>4</v>
      </c>
      <c r="O19" s="529" t="s">
        <v>14</v>
      </c>
    </row>
    <row r="20" spans="1:15" s="529" customFormat="1" ht="12.75" customHeight="1">
      <c r="A20" s="548" t="s">
        <v>20</v>
      </c>
      <c r="B20" s="548" t="s">
        <v>341</v>
      </c>
      <c r="C20" s="548" t="s">
        <v>348</v>
      </c>
      <c r="D20" s="529" t="s">
        <v>349</v>
      </c>
      <c r="E20" s="529" t="s">
        <v>350</v>
      </c>
      <c r="F20" s="548" t="s">
        <v>33</v>
      </c>
      <c r="G20" s="549">
        <f>19*4.5</f>
        <v>85.5</v>
      </c>
      <c r="H20" s="550">
        <v>16</v>
      </c>
      <c r="I20" s="550">
        <f t="shared" si="0"/>
        <v>1368</v>
      </c>
      <c r="J20" s="551">
        <v>0</v>
      </c>
      <c r="K20" s="549">
        <f t="shared" si="1"/>
        <v>0</v>
      </c>
      <c r="L20" s="551">
        <v>0</v>
      </c>
      <c r="M20" s="549">
        <f t="shared" si="2"/>
        <v>0</v>
      </c>
      <c r="N20" s="552">
        <v>4</v>
      </c>
      <c r="O20" s="529" t="s">
        <v>14</v>
      </c>
    </row>
    <row r="21" spans="1:15" s="529" customFormat="1" ht="12.75" customHeight="1">
      <c r="A21" s="548" t="s">
        <v>351</v>
      </c>
      <c r="B21" s="548" t="s">
        <v>341</v>
      </c>
      <c r="C21" s="548" t="s">
        <v>352</v>
      </c>
      <c r="D21" s="529" t="s">
        <v>353</v>
      </c>
      <c r="E21" s="529" t="s">
        <v>354</v>
      </c>
      <c r="F21" s="548" t="s">
        <v>30</v>
      </c>
      <c r="G21" s="549">
        <f>(15+4)*0.3*0.4</f>
        <v>2.2800000000000002</v>
      </c>
      <c r="H21" s="550">
        <v>899</v>
      </c>
      <c r="I21" s="550">
        <f t="shared" si="0"/>
        <v>2049.72</v>
      </c>
      <c r="J21" s="551">
        <v>1.63</v>
      </c>
      <c r="K21" s="549">
        <f t="shared" si="1"/>
        <v>3.7164</v>
      </c>
      <c r="L21" s="551">
        <v>0</v>
      </c>
      <c r="M21" s="549">
        <f t="shared" si="2"/>
        <v>0</v>
      </c>
      <c r="N21" s="552">
        <v>4</v>
      </c>
      <c r="O21" s="529" t="s">
        <v>14</v>
      </c>
    </row>
    <row r="22" spans="1:15" s="529" customFormat="1" ht="12.75" customHeight="1">
      <c r="A22" s="548" t="s">
        <v>355</v>
      </c>
      <c r="B22" s="548" t="s">
        <v>341</v>
      </c>
      <c r="C22" s="548" t="s">
        <v>352</v>
      </c>
      <c r="D22" s="529" t="s">
        <v>356</v>
      </c>
      <c r="E22" s="529" t="s">
        <v>357</v>
      </c>
      <c r="F22" s="548" t="s">
        <v>30</v>
      </c>
      <c r="G22" s="549">
        <f>(15+4)*0.1*0.3</f>
        <v>0.5700000000000001</v>
      </c>
      <c r="H22" s="550">
        <v>912</v>
      </c>
      <c r="I22" s="550">
        <f t="shared" si="0"/>
        <v>519.84</v>
      </c>
      <c r="J22" s="551">
        <v>1.63</v>
      </c>
      <c r="K22" s="549">
        <f t="shared" si="1"/>
        <v>0.9291</v>
      </c>
      <c r="L22" s="551">
        <v>0</v>
      </c>
      <c r="M22" s="549">
        <f t="shared" si="2"/>
        <v>0</v>
      </c>
      <c r="N22" s="552">
        <v>4</v>
      </c>
      <c r="O22" s="529" t="s">
        <v>14</v>
      </c>
    </row>
    <row r="23" spans="1:15" s="529" customFormat="1" ht="12.75" customHeight="1">
      <c r="A23" s="548" t="s">
        <v>358</v>
      </c>
      <c r="B23" s="548" t="s">
        <v>341</v>
      </c>
      <c r="C23" s="548" t="s">
        <v>352</v>
      </c>
      <c r="D23" s="529" t="s">
        <v>359</v>
      </c>
      <c r="E23" s="529" t="s">
        <v>360</v>
      </c>
      <c r="F23" s="548" t="s">
        <v>27</v>
      </c>
      <c r="G23" s="549">
        <v>19</v>
      </c>
      <c r="H23" s="550">
        <v>56</v>
      </c>
      <c r="I23" s="550">
        <f t="shared" si="0"/>
        <v>1064</v>
      </c>
      <c r="J23" s="551">
        <v>0.00049</v>
      </c>
      <c r="K23" s="549">
        <f t="shared" si="1"/>
        <v>0.009309999999999999</v>
      </c>
      <c r="L23" s="551">
        <v>0</v>
      </c>
      <c r="M23" s="549">
        <f t="shared" si="2"/>
        <v>0</v>
      </c>
      <c r="N23" s="552">
        <v>4</v>
      </c>
      <c r="O23" s="529" t="s">
        <v>14</v>
      </c>
    </row>
    <row r="24" spans="1:15" s="529" customFormat="1" ht="12.75" customHeight="1">
      <c r="A24" s="548" t="s">
        <v>361</v>
      </c>
      <c r="B24" s="548" t="s">
        <v>341</v>
      </c>
      <c r="C24" s="548" t="s">
        <v>43</v>
      </c>
      <c r="D24" s="529" t="s">
        <v>81</v>
      </c>
      <c r="E24" s="529" t="s">
        <v>293</v>
      </c>
      <c r="F24" s="548" t="s">
        <v>55</v>
      </c>
      <c r="G24" s="549">
        <v>2</v>
      </c>
      <c r="H24" s="550">
        <v>59</v>
      </c>
      <c r="I24" s="550">
        <f t="shared" si="0"/>
        <v>118</v>
      </c>
      <c r="J24" s="551">
        <v>3E-05</v>
      </c>
      <c r="K24" s="549">
        <f t="shared" si="1"/>
        <v>6E-05</v>
      </c>
      <c r="L24" s="551">
        <v>0</v>
      </c>
      <c r="M24" s="549">
        <f t="shared" si="2"/>
        <v>0</v>
      </c>
      <c r="N24" s="552">
        <v>4</v>
      </c>
      <c r="O24" s="529" t="s">
        <v>14</v>
      </c>
    </row>
    <row r="25" spans="1:15" s="529" customFormat="1" ht="12.75" customHeight="1">
      <c r="A25" s="548" t="s">
        <v>362</v>
      </c>
      <c r="B25" s="548" t="s">
        <v>363</v>
      </c>
      <c r="C25" s="548" t="s">
        <v>364</v>
      </c>
      <c r="D25" s="529" t="s">
        <v>365</v>
      </c>
      <c r="E25" s="529" t="s">
        <v>366</v>
      </c>
      <c r="F25" s="548" t="s">
        <v>55</v>
      </c>
      <c r="G25" s="549">
        <v>1</v>
      </c>
      <c r="H25" s="550">
        <v>658</v>
      </c>
      <c r="I25" s="550">
        <f t="shared" si="0"/>
        <v>658</v>
      </c>
      <c r="J25" s="551">
        <v>0.00154</v>
      </c>
      <c r="K25" s="549">
        <f t="shared" si="1"/>
        <v>0.00154</v>
      </c>
      <c r="L25" s="551">
        <v>0</v>
      </c>
      <c r="M25" s="549">
        <f t="shared" si="2"/>
        <v>0</v>
      </c>
      <c r="N25" s="552">
        <v>8</v>
      </c>
      <c r="O25" s="529" t="s">
        <v>14</v>
      </c>
    </row>
    <row r="26" spans="1:15" s="529" customFormat="1" ht="12.75" customHeight="1">
      <c r="A26" s="548" t="s">
        <v>367</v>
      </c>
      <c r="B26" s="548" t="s">
        <v>363</v>
      </c>
      <c r="C26" s="548" t="s">
        <v>364</v>
      </c>
      <c r="D26" s="529" t="s">
        <v>368</v>
      </c>
      <c r="E26" s="529" t="s">
        <v>369</v>
      </c>
      <c r="F26" s="548" t="s">
        <v>55</v>
      </c>
      <c r="G26" s="549">
        <v>1</v>
      </c>
      <c r="H26" s="550">
        <v>218</v>
      </c>
      <c r="I26" s="550">
        <f t="shared" si="0"/>
        <v>218</v>
      </c>
      <c r="J26" s="551">
        <v>1.00154</v>
      </c>
      <c r="K26" s="549">
        <f t="shared" si="1"/>
        <v>1.00154</v>
      </c>
      <c r="L26" s="551">
        <v>1</v>
      </c>
      <c r="M26" s="549">
        <f t="shared" si="2"/>
        <v>1</v>
      </c>
      <c r="N26" s="552">
        <v>9</v>
      </c>
      <c r="O26" s="529" t="s">
        <v>15</v>
      </c>
    </row>
    <row r="27" spans="1:15" s="529" customFormat="1" ht="12.75" customHeight="1">
      <c r="A27" s="548" t="s">
        <v>370</v>
      </c>
      <c r="B27" s="548" t="s">
        <v>341</v>
      </c>
      <c r="C27" s="548" t="s">
        <v>163</v>
      </c>
      <c r="D27" s="529" t="s">
        <v>371</v>
      </c>
      <c r="E27" s="529" t="s">
        <v>372</v>
      </c>
      <c r="F27" s="548" t="s">
        <v>52</v>
      </c>
      <c r="G27" s="549">
        <f>(G21+G22)*2.2</f>
        <v>6.270000000000001</v>
      </c>
      <c r="H27" s="550">
        <v>198</v>
      </c>
      <c r="I27" s="550">
        <f t="shared" si="0"/>
        <v>1241.46</v>
      </c>
      <c r="J27" s="551">
        <v>0</v>
      </c>
      <c r="K27" s="549">
        <f t="shared" si="1"/>
        <v>0</v>
      </c>
      <c r="L27" s="551">
        <v>0</v>
      </c>
      <c r="M27" s="549">
        <f t="shared" si="2"/>
        <v>0</v>
      </c>
      <c r="N27" s="552">
        <v>4</v>
      </c>
      <c r="O27" s="529" t="s">
        <v>15</v>
      </c>
    </row>
    <row r="28" spans="5:13" s="553" customFormat="1" ht="12.75" customHeight="1">
      <c r="E28" s="553" t="s">
        <v>373</v>
      </c>
      <c r="H28" s="554"/>
      <c r="I28" s="555">
        <f>SUM(I16:I27)</f>
        <v>10125.400000000001</v>
      </c>
      <c r="K28" s="556" t="e">
        <f>K14</f>
        <v>#REF!</v>
      </c>
      <c r="M28" s="556" t="e">
        <f>M14</f>
        <v>#REF!</v>
      </c>
    </row>
    <row r="29" ht="12.75" customHeight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42" sqref="F42"/>
    </sheetView>
  </sheetViews>
  <sheetFormatPr defaultColWidth="9.33203125" defaultRowHeight="10.5"/>
  <cols>
    <col min="1" max="1" width="6.5" style="527" customWidth="1"/>
    <col min="2" max="2" width="5.16015625" style="527" customWidth="1"/>
    <col min="3" max="3" width="5.5" style="527" customWidth="1"/>
    <col min="4" max="4" width="14.83203125" style="527" customWidth="1"/>
    <col min="5" max="5" width="64.83203125" style="527" customWidth="1"/>
    <col min="6" max="6" width="5.5" style="527" customWidth="1"/>
    <col min="7" max="7" width="11.5" style="527" customWidth="1"/>
    <col min="8" max="8" width="13.83203125" style="527" customWidth="1"/>
    <col min="9" max="9" width="15.83203125" style="527" customWidth="1"/>
    <col min="10" max="10" width="12.33203125" style="527" hidden="1" customWidth="1"/>
    <col min="11" max="11" width="12.66015625" style="527" hidden="1" customWidth="1"/>
    <col min="12" max="12" width="11.33203125" style="527" hidden="1" customWidth="1"/>
    <col min="13" max="13" width="13.5" style="527" hidden="1" customWidth="1"/>
    <col min="14" max="14" width="8.16015625" style="527" hidden="1" customWidth="1"/>
    <col min="15" max="15" width="8.5" style="527" hidden="1" customWidth="1"/>
    <col min="16" max="16384" width="9.33203125" style="527" customWidth="1"/>
  </cols>
  <sheetData>
    <row r="1" spans="1:15" ht="18" customHeight="1">
      <c r="A1" s="525" t="s">
        <v>319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5" ht="11.25" customHeight="1">
      <c r="A2" s="528" t="s">
        <v>320</v>
      </c>
      <c r="B2" s="529"/>
      <c r="C2" s="529" t="str">
        <f>'[1]Krycí list'!E5</f>
        <v>Nové Hamry - VCP II</v>
      </c>
      <c r="D2" s="529"/>
      <c r="E2" s="529"/>
      <c r="F2" s="529"/>
      <c r="G2" s="529"/>
      <c r="H2" s="529"/>
      <c r="I2" s="529"/>
      <c r="J2" s="529"/>
      <c r="K2" s="529"/>
      <c r="L2" s="526"/>
      <c r="M2" s="526"/>
      <c r="N2" s="526"/>
      <c r="O2" s="526"/>
    </row>
    <row r="3" spans="1:15" ht="11.25" customHeight="1">
      <c r="A3" s="528" t="s">
        <v>321</v>
      </c>
      <c r="B3" s="529"/>
      <c r="C3" s="529" t="s">
        <v>374</v>
      </c>
      <c r="D3" s="529"/>
      <c r="E3" s="529"/>
      <c r="F3" s="529"/>
      <c r="G3" s="529"/>
      <c r="H3" s="529"/>
      <c r="I3" s="529"/>
      <c r="J3" s="529"/>
      <c r="K3" s="529"/>
      <c r="L3" s="526"/>
      <c r="M3" s="526"/>
      <c r="N3" s="526"/>
      <c r="O3" s="526"/>
    </row>
    <row r="4" spans="1:15" ht="11.25" customHeight="1">
      <c r="A4" s="528" t="s">
        <v>323</v>
      </c>
      <c r="B4" s="529"/>
      <c r="C4" s="529" t="str">
        <f>'[1]Krycí list'!E9</f>
        <v> </v>
      </c>
      <c r="D4" s="529"/>
      <c r="E4" s="529"/>
      <c r="F4" s="529"/>
      <c r="G4" s="529"/>
      <c r="H4" s="529"/>
      <c r="I4" s="529"/>
      <c r="J4" s="529"/>
      <c r="K4" s="529"/>
      <c r="L4" s="526"/>
      <c r="M4" s="526"/>
      <c r="N4" s="526"/>
      <c r="O4" s="526"/>
    </row>
    <row r="5" spans="1:15" ht="11.25" customHeight="1">
      <c r="A5" s="529" t="s">
        <v>324</v>
      </c>
      <c r="B5" s="529"/>
      <c r="C5" s="529" t="str">
        <f>'[1]Krycí list'!P5</f>
        <v> </v>
      </c>
      <c r="D5" s="529"/>
      <c r="E5" s="529"/>
      <c r="F5" s="529"/>
      <c r="G5" s="529"/>
      <c r="H5" s="529"/>
      <c r="I5" s="529"/>
      <c r="J5" s="529"/>
      <c r="K5" s="529"/>
      <c r="L5" s="526"/>
      <c r="M5" s="526"/>
      <c r="N5" s="526"/>
      <c r="O5" s="526"/>
    </row>
    <row r="6" spans="1:15" ht="6" customHeight="1">
      <c r="A6" s="529"/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6"/>
      <c r="M6" s="526"/>
      <c r="N6" s="526"/>
      <c r="O6" s="526"/>
    </row>
    <row r="7" spans="1:15" ht="11.25" customHeight="1">
      <c r="A7" s="529" t="s">
        <v>325</v>
      </c>
      <c r="B7" s="529"/>
      <c r="C7" s="529" t="str">
        <f>'[1]Krycí list'!E26</f>
        <v>OÚ Nové Hamry</v>
      </c>
      <c r="D7" s="529"/>
      <c r="E7" s="529"/>
      <c r="F7" s="529"/>
      <c r="G7" s="529"/>
      <c r="H7" s="529"/>
      <c r="I7" s="529"/>
      <c r="J7" s="529"/>
      <c r="K7" s="529"/>
      <c r="L7" s="526"/>
      <c r="M7" s="526"/>
      <c r="N7" s="526"/>
      <c r="O7" s="526"/>
    </row>
    <row r="8" spans="1:15" ht="11.25" customHeight="1">
      <c r="A8" s="529" t="s">
        <v>326</v>
      </c>
      <c r="B8" s="529"/>
      <c r="C8" s="529" t="str">
        <f>'[1]Krycí list'!E28</f>
        <v>VIDEST s.r.o.</v>
      </c>
      <c r="D8" s="529"/>
      <c r="E8" s="529"/>
      <c r="F8" s="529"/>
      <c r="G8" s="529"/>
      <c r="H8" s="529"/>
      <c r="I8" s="529"/>
      <c r="J8" s="529"/>
      <c r="K8" s="529"/>
      <c r="L8" s="526"/>
      <c r="M8" s="526"/>
      <c r="N8" s="526"/>
      <c r="O8" s="526"/>
    </row>
    <row r="9" spans="1:15" ht="11.25" customHeight="1">
      <c r="A9" s="529" t="s">
        <v>327</v>
      </c>
      <c r="B9" s="529"/>
      <c r="C9" s="529" t="s">
        <v>328</v>
      </c>
      <c r="D9" s="529"/>
      <c r="E9" s="529"/>
      <c r="F9" s="529"/>
      <c r="G9" s="529"/>
      <c r="H9" s="529"/>
      <c r="I9" s="529"/>
      <c r="J9" s="529"/>
      <c r="K9" s="529"/>
      <c r="L9" s="526"/>
      <c r="M9" s="526"/>
      <c r="N9" s="526"/>
      <c r="O9" s="526"/>
    </row>
    <row r="10" spans="1:15" ht="5.25" customHeight="1">
      <c r="A10" s="526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</row>
    <row r="11" spans="1:15" ht="21.75" customHeight="1">
      <c r="A11" s="530" t="s">
        <v>5</v>
      </c>
      <c r="B11" s="531" t="s">
        <v>329</v>
      </c>
      <c r="C11" s="531" t="s">
        <v>6</v>
      </c>
      <c r="D11" s="531" t="s">
        <v>7</v>
      </c>
      <c r="E11" s="531" t="s">
        <v>8</v>
      </c>
      <c r="F11" s="531" t="s">
        <v>9</v>
      </c>
      <c r="G11" s="531" t="s">
        <v>10</v>
      </c>
      <c r="H11" s="531" t="s">
        <v>330</v>
      </c>
      <c r="I11" s="531" t="s">
        <v>331</v>
      </c>
      <c r="J11" s="531" t="s">
        <v>332</v>
      </c>
      <c r="K11" s="531" t="s">
        <v>333</v>
      </c>
      <c r="L11" s="531" t="s">
        <v>334</v>
      </c>
      <c r="M11" s="531" t="s">
        <v>335</v>
      </c>
      <c r="N11" s="532" t="s">
        <v>336</v>
      </c>
      <c r="O11" s="533" t="s">
        <v>337</v>
      </c>
    </row>
    <row r="12" spans="1:15" ht="11.25" customHeight="1">
      <c r="A12" s="534">
        <v>1</v>
      </c>
      <c r="B12" s="535">
        <v>2</v>
      </c>
      <c r="C12" s="535">
        <v>3</v>
      </c>
      <c r="D12" s="535">
        <v>4</v>
      </c>
      <c r="E12" s="535">
        <v>5</v>
      </c>
      <c r="F12" s="535">
        <v>6</v>
      </c>
      <c r="G12" s="535">
        <v>7</v>
      </c>
      <c r="H12" s="535">
        <v>8</v>
      </c>
      <c r="I12" s="535">
        <v>9</v>
      </c>
      <c r="J12" s="535"/>
      <c r="K12" s="535"/>
      <c r="L12" s="535"/>
      <c r="M12" s="535"/>
      <c r="N12" s="536">
        <v>11</v>
      </c>
      <c r="O12" s="537">
        <v>12</v>
      </c>
    </row>
    <row r="13" spans="1:15" ht="3.75" customHeight="1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38"/>
    </row>
    <row r="14" spans="1:15" s="528" customFormat="1" ht="12.75" customHeight="1">
      <c r="A14" s="539"/>
      <c r="B14" s="540" t="s">
        <v>243</v>
      </c>
      <c r="C14" s="539"/>
      <c r="D14" s="539" t="s">
        <v>21</v>
      </c>
      <c r="E14" s="539" t="s">
        <v>338</v>
      </c>
      <c r="F14" s="539"/>
      <c r="G14" s="539"/>
      <c r="H14" s="541"/>
      <c r="I14" s="542"/>
      <c r="J14" s="539"/>
      <c r="K14" s="543" t="e">
        <f>K15+#REF!+#REF!+#REF!</f>
        <v>#REF!</v>
      </c>
      <c r="L14" s="539"/>
      <c r="M14" s="543" t="e">
        <f>M15+#REF!+#REF!+#REF!</f>
        <v>#REF!</v>
      </c>
      <c r="O14" s="528" t="s">
        <v>339</v>
      </c>
    </row>
    <row r="15" spans="2:15" s="528" customFormat="1" ht="12.75" customHeight="1">
      <c r="B15" s="544" t="s">
        <v>243</v>
      </c>
      <c r="D15" s="528" t="s">
        <v>13</v>
      </c>
      <c r="E15" s="528" t="s">
        <v>340</v>
      </c>
      <c r="H15" s="545"/>
      <c r="I15" s="546"/>
      <c r="K15" s="547" t="e">
        <f>SUM(#REF!)</f>
        <v>#REF!</v>
      </c>
      <c r="M15" s="547" t="e">
        <f>SUM(#REF!)</f>
        <v>#REF!</v>
      </c>
      <c r="O15" s="528" t="s">
        <v>13</v>
      </c>
    </row>
    <row r="16" spans="1:15" s="529" customFormat="1" ht="12.75" customHeight="1">
      <c r="A16" s="548" t="s">
        <v>351</v>
      </c>
      <c r="B16" s="548" t="s">
        <v>341</v>
      </c>
      <c r="C16" s="548" t="s">
        <v>352</v>
      </c>
      <c r="D16" s="529" t="s">
        <v>353</v>
      </c>
      <c r="E16" s="529" t="s">
        <v>354</v>
      </c>
      <c r="F16" s="548" t="s">
        <v>30</v>
      </c>
      <c r="G16" s="549">
        <f>90*0.2*0.2</f>
        <v>3.6</v>
      </c>
      <c r="H16" s="550">
        <v>899</v>
      </c>
      <c r="I16" s="550">
        <f aca="true" t="shared" si="0" ref="I16:I21">ROUND(G16*H16,2)</f>
        <v>3236.4</v>
      </c>
      <c r="J16" s="551">
        <v>1.63</v>
      </c>
      <c r="K16" s="549">
        <f aca="true" t="shared" si="1" ref="K16:K21">G16*J16</f>
        <v>5.867999999999999</v>
      </c>
      <c r="L16" s="551">
        <v>0</v>
      </c>
      <c r="M16" s="549">
        <f aca="true" t="shared" si="2" ref="M16:M21">G16*L16</f>
        <v>0</v>
      </c>
      <c r="N16" s="552">
        <v>4</v>
      </c>
      <c r="O16" s="529" t="s">
        <v>14</v>
      </c>
    </row>
    <row r="17" spans="1:15" s="529" customFormat="1" ht="12.75" customHeight="1">
      <c r="A17" s="548" t="s">
        <v>355</v>
      </c>
      <c r="B17" s="548" t="s">
        <v>341</v>
      </c>
      <c r="C17" s="548" t="s">
        <v>352</v>
      </c>
      <c r="D17" s="529" t="s">
        <v>356</v>
      </c>
      <c r="E17" s="529" t="s">
        <v>357</v>
      </c>
      <c r="F17" s="548" t="s">
        <v>30</v>
      </c>
      <c r="G17" s="549">
        <f>90*0.25*0.1</f>
        <v>2.25</v>
      </c>
      <c r="H17" s="550">
        <v>912</v>
      </c>
      <c r="I17" s="550">
        <f t="shared" si="0"/>
        <v>2052</v>
      </c>
      <c r="J17" s="551">
        <v>1.63</v>
      </c>
      <c r="K17" s="549">
        <f t="shared" si="1"/>
        <v>3.6674999999999995</v>
      </c>
      <c r="L17" s="551">
        <v>0</v>
      </c>
      <c r="M17" s="549">
        <f t="shared" si="2"/>
        <v>0</v>
      </c>
      <c r="N17" s="552">
        <v>4</v>
      </c>
      <c r="O17" s="529" t="s">
        <v>14</v>
      </c>
    </row>
    <row r="18" spans="1:15" s="529" customFormat="1" ht="12.75" customHeight="1">
      <c r="A18" s="548" t="s">
        <v>358</v>
      </c>
      <c r="B18" s="548" t="s">
        <v>341</v>
      </c>
      <c r="C18" s="548" t="s">
        <v>352</v>
      </c>
      <c r="D18" s="529" t="s">
        <v>359</v>
      </c>
      <c r="E18" s="529" t="s">
        <v>360</v>
      </c>
      <c r="F18" s="548" t="s">
        <v>27</v>
      </c>
      <c r="G18" s="549">
        <v>90</v>
      </c>
      <c r="H18" s="550">
        <v>56</v>
      </c>
      <c r="I18" s="550">
        <f t="shared" si="0"/>
        <v>5040</v>
      </c>
      <c r="J18" s="551">
        <v>0.00049</v>
      </c>
      <c r="K18" s="549">
        <f t="shared" si="1"/>
        <v>0.0441</v>
      </c>
      <c r="L18" s="551">
        <v>0</v>
      </c>
      <c r="M18" s="549">
        <f t="shared" si="2"/>
        <v>0</v>
      </c>
      <c r="N18" s="552">
        <v>4</v>
      </c>
      <c r="O18" s="529" t="s">
        <v>14</v>
      </c>
    </row>
    <row r="19" spans="1:15" s="529" customFormat="1" ht="12.75" customHeight="1">
      <c r="A19" s="548" t="s">
        <v>361</v>
      </c>
      <c r="B19" s="548" t="s">
        <v>341</v>
      </c>
      <c r="C19" s="548" t="s">
        <v>43</v>
      </c>
      <c r="D19" s="529" t="s">
        <v>81</v>
      </c>
      <c r="E19" s="529" t="s">
        <v>293</v>
      </c>
      <c r="F19" s="548" t="s">
        <v>55</v>
      </c>
      <c r="G19" s="549">
        <v>1</v>
      </c>
      <c r="H19" s="550">
        <v>59</v>
      </c>
      <c r="I19" s="550">
        <f t="shared" si="0"/>
        <v>59</v>
      </c>
      <c r="J19" s="551">
        <v>3E-05</v>
      </c>
      <c r="K19" s="549">
        <f t="shared" si="1"/>
        <v>3E-05</v>
      </c>
      <c r="L19" s="551">
        <v>0</v>
      </c>
      <c r="M19" s="549">
        <f t="shared" si="2"/>
        <v>0</v>
      </c>
      <c r="N19" s="552">
        <v>4</v>
      </c>
      <c r="O19" s="529" t="s">
        <v>14</v>
      </c>
    </row>
    <row r="20" spans="1:15" s="529" customFormat="1" ht="12.75" customHeight="1">
      <c r="A20" s="548" t="s">
        <v>362</v>
      </c>
      <c r="B20" s="548" t="s">
        <v>363</v>
      </c>
      <c r="C20" s="548" t="s">
        <v>364</v>
      </c>
      <c r="D20" s="529" t="s">
        <v>365</v>
      </c>
      <c r="E20" s="529" t="s">
        <v>375</v>
      </c>
      <c r="F20" s="548" t="s">
        <v>55</v>
      </c>
      <c r="G20" s="549">
        <v>1</v>
      </c>
      <c r="H20" s="550">
        <v>658</v>
      </c>
      <c r="I20" s="550">
        <f t="shared" si="0"/>
        <v>658</v>
      </c>
      <c r="J20" s="551">
        <v>0.00154</v>
      </c>
      <c r="K20" s="549">
        <f t="shared" si="1"/>
        <v>0.00154</v>
      </c>
      <c r="L20" s="551">
        <v>0</v>
      </c>
      <c r="M20" s="549">
        <f t="shared" si="2"/>
        <v>0</v>
      </c>
      <c r="N20" s="552">
        <v>8</v>
      </c>
      <c r="O20" s="529" t="s">
        <v>14</v>
      </c>
    </row>
    <row r="21" spans="1:15" s="529" customFormat="1" ht="12.75" customHeight="1">
      <c r="A21" s="548" t="s">
        <v>370</v>
      </c>
      <c r="B21" s="548" t="s">
        <v>341</v>
      </c>
      <c r="C21" s="548" t="s">
        <v>163</v>
      </c>
      <c r="D21" s="529" t="s">
        <v>371</v>
      </c>
      <c r="E21" s="529" t="s">
        <v>372</v>
      </c>
      <c r="F21" s="548" t="s">
        <v>52</v>
      </c>
      <c r="G21" s="549">
        <f>(G16+G17)*2.1</f>
        <v>12.285</v>
      </c>
      <c r="H21" s="550">
        <v>80</v>
      </c>
      <c r="I21" s="550">
        <f t="shared" si="0"/>
        <v>982.8</v>
      </c>
      <c r="J21" s="551">
        <v>0</v>
      </c>
      <c r="K21" s="549">
        <f t="shared" si="1"/>
        <v>0</v>
      </c>
      <c r="L21" s="551">
        <v>0</v>
      </c>
      <c r="M21" s="549">
        <f t="shared" si="2"/>
        <v>0</v>
      </c>
      <c r="N21" s="552">
        <v>4</v>
      </c>
      <c r="O21" s="529" t="s">
        <v>15</v>
      </c>
    </row>
    <row r="22" spans="5:13" s="553" customFormat="1" ht="12.75" customHeight="1">
      <c r="E22" s="553" t="s">
        <v>373</v>
      </c>
      <c r="H22" s="554"/>
      <c r="I22" s="555">
        <f>SUM(I16:I21)</f>
        <v>12028.199999999999</v>
      </c>
      <c r="K22" s="556" t="e">
        <f>K14</f>
        <v>#REF!</v>
      </c>
      <c r="M22" s="556" t="e">
        <f>M14</f>
        <v>#REF!</v>
      </c>
    </row>
    <row r="23" ht="12.7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D51" sqref="D51"/>
    </sheetView>
  </sheetViews>
  <sheetFormatPr defaultColWidth="9.33203125" defaultRowHeight="10.5"/>
  <cols>
    <col min="1" max="1" width="3" style="109" customWidth="1"/>
    <col min="2" max="2" width="2.16015625" style="109" customWidth="1"/>
    <col min="3" max="3" width="3.16015625" style="109" customWidth="1"/>
    <col min="4" max="4" width="8" style="109" customWidth="1"/>
    <col min="5" max="5" width="15.83203125" style="109" customWidth="1"/>
    <col min="6" max="6" width="0.65625" style="109" customWidth="1"/>
    <col min="7" max="7" width="3.5" style="109" customWidth="1"/>
    <col min="8" max="8" width="3.16015625" style="109" customWidth="1"/>
    <col min="9" max="9" width="11.33203125" style="109" customWidth="1"/>
    <col min="10" max="10" width="15.83203125" style="109" customWidth="1"/>
    <col min="11" max="11" width="0.82421875" style="109" customWidth="1"/>
    <col min="12" max="12" width="3.5" style="109" customWidth="1"/>
    <col min="13" max="13" width="3.33203125" style="109" customWidth="1"/>
    <col min="14" max="14" width="2.33203125" style="109" customWidth="1"/>
    <col min="15" max="15" width="14.83203125" style="109" customWidth="1"/>
    <col min="16" max="16" width="3.33203125" style="109" customWidth="1"/>
    <col min="17" max="17" width="2.33203125" style="109" customWidth="1"/>
    <col min="18" max="18" width="18.66015625" style="109" customWidth="1"/>
    <col min="19" max="19" width="0.65625" style="109" customWidth="1"/>
    <col min="20" max="22" width="9.33203125" style="109" customWidth="1"/>
    <col min="23" max="23" width="14" style="109" bestFit="1" customWidth="1"/>
    <col min="24" max="16384" width="9.33203125" style="109" customWidth="1"/>
  </cols>
  <sheetData>
    <row r="1" spans="1:19" ht="12" customHeight="1">
      <c r="A1" s="343" t="s">
        <v>300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</row>
    <row r="2" spans="1:19" ht="23.25" customHeigh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</row>
    <row r="3" spans="1:19" ht="12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</row>
    <row r="4" spans="1:19" ht="8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19" ht="15" customHeight="1">
      <c r="A5" s="113"/>
      <c r="B5" s="114" t="s">
        <v>192</v>
      </c>
      <c r="C5" s="114"/>
      <c r="D5" s="114"/>
      <c r="E5" s="115" t="s">
        <v>251</v>
      </c>
      <c r="F5" s="116"/>
      <c r="G5" s="116"/>
      <c r="H5" s="116"/>
      <c r="I5" s="116"/>
      <c r="J5" s="117"/>
      <c r="K5" s="114"/>
      <c r="L5" s="114"/>
      <c r="M5" s="114"/>
      <c r="N5" s="114"/>
      <c r="O5" s="114" t="s">
        <v>193</v>
      </c>
      <c r="P5" s="115" t="s">
        <v>194</v>
      </c>
      <c r="Q5" s="118"/>
      <c r="R5" s="117"/>
      <c r="S5" s="119"/>
    </row>
    <row r="6" spans="1:19" ht="17.25" customHeight="1" hidden="1">
      <c r="A6" s="113"/>
      <c r="B6" s="114" t="s">
        <v>195</v>
      </c>
      <c r="C6" s="114"/>
      <c r="D6" s="114"/>
      <c r="E6" s="120" t="s">
        <v>196</v>
      </c>
      <c r="F6" s="114"/>
      <c r="G6" s="114"/>
      <c r="H6" s="114"/>
      <c r="I6" s="114"/>
      <c r="J6" s="121"/>
      <c r="K6" s="114"/>
      <c r="L6" s="114"/>
      <c r="M6" s="114"/>
      <c r="N6" s="114"/>
      <c r="O6" s="114"/>
      <c r="P6" s="122"/>
      <c r="Q6" s="123"/>
      <c r="R6" s="121"/>
      <c r="S6" s="119"/>
    </row>
    <row r="7" spans="1:19" ht="17.25" customHeight="1">
      <c r="A7" s="113"/>
      <c r="B7" s="114" t="s">
        <v>197</v>
      </c>
      <c r="C7" s="114"/>
      <c r="D7" s="114"/>
      <c r="E7" s="285" t="s">
        <v>287</v>
      </c>
      <c r="F7" s="114"/>
      <c r="G7" s="114"/>
      <c r="H7" s="114"/>
      <c r="I7" s="114"/>
      <c r="J7" s="121"/>
      <c r="K7" s="114"/>
      <c r="L7" s="114"/>
      <c r="M7" s="114"/>
      <c r="N7" s="114"/>
      <c r="O7" s="114" t="s">
        <v>198</v>
      </c>
      <c r="P7" s="120"/>
      <c r="Q7" s="123"/>
      <c r="R7" s="121"/>
      <c r="S7" s="119"/>
    </row>
    <row r="8" spans="1:19" ht="17.25" customHeight="1" hidden="1">
      <c r="A8" s="113"/>
      <c r="B8" s="114" t="s">
        <v>199</v>
      </c>
      <c r="C8" s="114"/>
      <c r="D8" s="114"/>
      <c r="E8" s="124" t="s">
        <v>194</v>
      </c>
      <c r="F8" s="114"/>
      <c r="G8" s="114"/>
      <c r="H8" s="114"/>
      <c r="I8" s="114"/>
      <c r="J8" s="121"/>
      <c r="K8" s="114"/>
      <c r="L8" s="114"/>
      <c r="M8" s="114"/>
      <c r="N8" s="114"/>
      <c r="O8" s="114"/>
      <c r="P8" s="122"/>
      <c r="Q8" s="123"/>
      <c r="R8" s="121"/>
      <c r="S8" s="119"/>
    </row>
    <row r="9" spans="1:19" ht="17.25" customHeight="1">
      <c r="A9" s="113"/>
      <c r="B9" s="114" t="s">
        <v>200</v>
      </c>
      <c r="C9" s="114"/>
      <c r="D9" s="114"/>
      <c r="E9" s="125" t="s">
        <v>201</v>
      </c>
      <c r="F9" s="126"/>
      <c r="G9" s="126"/>
      <c r="H9" s="126"/>
      <c r="I9" s="126"/>
      <c r="J9" s="127"/>
      <c r="K9" s="114"/>
      <c r="L9" s="114"/>
      <c r="M9" s="114"/>
      <c r="N9" s="114"/>
      <c r="O9" s="114" t="s">
        <v>202</v>
      </c>
      <c r="P9" s="128" t="s">
        <v>266</v>
      </c>
      <c r="Q9" s="129"/>
      <c r="R9" s="127"/>
      <c r="S9" s="119"/>
    </row>
    <row r="10" spans="1:19" ht="17.25" customHeight="1" hidden="1">
      <c r="A10" s="113"/>
      <c r="B10" s="114" t="s">
        <v>203</v>
      </c>
      <c r="C10" s="114"/>
      <c r="D10" s="114"/>
      <c r="E10" s="130" t="s">
        <v>194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23"/>
      <c r="Q10" s="123"/>
      <c r="R10" s="114"/>
      <c r="S10" s="119"/>
    </row>
    <row r="11" spans="1:19" ht="17.25" customHeight="1" hidden="1">
      <c r="A11" s="113"/>
      <c r="B11" s="114" t="s">
        <v>204</v>
      </c>
      <c r="C11" s="114"/>
      <c r="D11" s="114"/>
      <c r="E11" s="130" t="s">
        <v>194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3"/>
      <c r="Q11" s="123"/>
      <c r="R11" s="114"/>
      <c r="S11" s="119"/>
    </row>
    <row r="12" spans="1:19" ht="17.25" customHeight="1" hidden="1">
      <c r="A12" s="113"/>
      <c r="B12" s="114" t="s">
        <v>205</v>
      </c>
      <c r="C12" s="114"/>
      <c r="D12" s="114"/>
      <c r="E12" s="130" t="s">
        <v>194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23"/>
      <c r="Q12" s="123"/>
      <c r="R12" s="114"/>
      <c r="S12" s="119"/>
    </row>
    <row r="13" spans="1:19" ht="17.25" customHeight="1" hidden="1">
      <c r="A13" s="113"/>
      <c r="B13" s="114"/>
      <c r="C13" s="114"/>
      <c r="D13" s="114"/>
      <c r="E13" s="130" t="s">
        <v>194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23"/>
      <c r="Q13" s="123"/>
      <c r="R13" s="114"/>
      <c r="S13" s="119"/>
    </row>
    <row r="14" spans="1:19" ht="17.25" customHeight="1" hidden="1">
      <c r="A14" s="113"/>
      <c r="B14" s="114"/>
      <c r="C14" s="114"/>
      <c r="D14" s="114"/>
      <c r="E14" s="130" t="s">
        <v>194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23"/>
      <c r="Q14" s="123"/>
      <c r="R14" s="114"/>
      <c r="S14" s="119"/>
    </row>
    <row r="15" spans="1:19" ht="17.25" customHeight="1" hidden="1">
      <c r="A15" s="113"/>
      <c r="B15" s="114"/>
      <c r="C15" s="114"/>
      <c r="D15" s="114"/>
      <c r="E15" s="130" t="s">
        <v>194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23"/>
      <c r="Q15" s="123"/>
      <c r="R15" s="114"/>
      <c r="S15" s="119"/>
    </row>
    <row r="16" spans="1:19" ht="17.25" customHeight="1" hidden="1">
      <c r="A16" s="113"/>
      <c r="B16" s="114"/>
      <c r="C16" s="114"/>
      <c r="D16" s="114"/>
      <c r="E16" s="130" t="s">
        <v>194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23"/>
      <c r="Q16" s="123"/>
      <c r="R16" s="114"/>
      <c r="S16" s="119"/>
    </row>
    <row r="17" spans="1:19" ht="17.25" customHeight="1" hidden="1">
      <c r="A17" s="113"/>
      <c r="B17" s="114"/>
      <c r="C17" s="114"/>
      <c r="D17" s="114"/>
      <c r="E17" s="130" t="s">
        <v>194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23"/>
      <c r="Q17" s="123"/>
      <c r="R17" s="114"/>
      <c r="S17" s="119"/>
    </row>
    <row r="18" spans="1:19" ht="17.25" customHeight="1" hidden="1">
      <c r="A18" s="113"/>
      <c r="B18" s="114"/>
      <c r="C18" s="114"/>
      <c r="D18" s="114"/>
      <c r="E18" s="130" t="s">
        <v>194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23"/>
      <c r="Q18" s="123"/>
      <c r="R18" s="114"/>
      <c r="S18" s="119"/>
    </row>
    <row r="19" spans="1:19" ht="17.25" customHeight="1" hidden="1">
      <c r="A19" s="113"/>
      <c r="B19" s="114"/>
      <c r="C19" s="114"/>
      <c r="D19" s="114"/>
      <c r="E19" s="130" t="s">
        <v>194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23"/>
      <c r="Q19" s="123"/>
      <c r="R19" s="114"/>
      <c r="S19" s="119"/>
    </row>
    <row r="20" spans="1:19" ht="17.25" customHeight="1" hidden="1">
      <c r="A20" s="113"/>
      <c r="B20" s="114"/>
      <c r="C20" s="114"/>
      <c r="D20" s="114"/>
      <c r="E20" s="130" t="s">
        <v>194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23"/>
      <c r="Q20" s="123"/>
      <c r="R20" s="114"/>
      <c r="S20" s="119"/>
    </row>
    <row r="21" spans="1:19" ht="17.25" customHeight="1" hidden="1">
      <c r="A21" s="113"/>
      <c r="B21" s="114"/>
      <c r="C21" s="114"/>
      <c r="D21" s="114"/>
      <c r="E21" s="130" t="s">
        <v>194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23"/>
      <c r="Q21" s="123"/>
      <c r="R21" s="114"/>
      <c r="S21" s="119"/>
    </row>
    <row r="22" spans="1:19" ht="17.25" customHeight="1" hidden="1">
      <c r="A22" s="113"/>
      <c r="B22" s="114"/>
      <c r="C22" s="114"/>
      <c r="D22" s="114"/>
      <c r="E22" s="130" t="s">
        <v>194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23"/>
      <c r="Q22" s="123"/>
      <c r="R22" s="114"/>
      <c r="S22" s="119"/>
    </row>
    <row r="23" spans="1:19" ht="17.25" customHeight="1" hidden="1">
      <c r="A23" s="113"/>
      <c r="B23" s="114"/>
      <c r="C23" s="114"/>
      <c r="D23" s="114"/>
      <c r="E23" s="130" t="s">
        <v>194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23"/>
      <c r="Q23" s="123"/>
      <c r="R23" s="114"/>
      <c r="S23" s="119"/>
    </row>
    <row r="24" spans="1:19" ht="17.25" customHeight="1" hidden="1">
      <c r="A24" s="113"/>
      <c r="B24" s="114"/>
      <c r="C24" s="114"/>
      <c r="D24" s="114"/>
      <c r="E24" s="130" t="s">
        <v>194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23"/>
      <c r="Q24" s="123"/>
      <c r="R24" s="114"/>
      <c r="S24" s="119"/>
    </row>
    <row r="25" spans="1:19" ht="17.2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 t="s">
        <v>206</v>
      </c>
      <c r="P25" s="114" t="s">
        <v>207</v>
      </c>
      <c r="Q25" s="114"/>
      <c r="R25" s="114"/>
      <c r="S25" s="119"/>
    </row>
    <row r="26" spans="1:19" ht="17.25" customHeight="1">
      <c r="A26" s="113"/>
      <c r="B26" s="114" t="s">
        <v>208</v>
      </c>
      <c r="C26" s="114"/>
      <c r="D26" s="114"/>
      <c r="E26" s="115" t="s">
        <v>252</v>
      </c>
      <c r="F26" s="116"/>
      <c r="G26" s="116"/>
      <c r="H26" s="116"/>
      <c r="I26" s="116"/>
      <c r="J26" s="117"/>
      <c r="K26" s="114"/>
      <c r="L26" s="114"/>
      <c r="M26" s="114"/>
      <c r="N26" s="114"/>
      <c r="O26" s="131"/>
      <c r="P26" s="132"/>
      <c r="Q26" s="133"/>
      <c r="R26" s="134"/>
      <c r="S26" s="119"/>
    </row>
    <row r="27" spans="1:19" ht="17.25" customHeight="1">
      <c r="A27" s="113"/>
      <c r="B27" s="114" t="s">
        <v>209</v>
      </c>
      <c r="C27" s="114"/>
      <c r="D27" s="114"/>
      <c r="E27" s="120" t="s">
        <v>253</v>
      </c>
      <c r="F27" s="114"/>
      <c r="G27" s="114"/>
      <c r="H27" s="114"/>
      <c r="I27" s="114"/>
      <c r="J27" s="121"/>
      <c r="K27" s="114"/>
      <c r="L27" s="114"/>
      <c r="M27" s="114"/>
      <c r="N27" s="114"/>
      <c r="O27" s="131"/>
      <c r="P27" s="132"/>
      <c r="Q27" s="133"/>
      <c r="R27" s="134"/>
      <c r="S27" s="119"/>
    </row>
    <row r="28" spans="1:19" ht="17.25" customHeight="1">
      <c r="A28" s="113"/>
      <c r="B28" s="114" t="s">
        <v>210</v>
      </c>
      <c r="C28" s="114"/>
      <c r="D28" s="114"/>
      <c r="E28" s="120" t="s">
        <v>211</v>
      </c>
      <c r="F28" s="114"/>
      <c r="G28" s="114"/>
      <c r="H28" s="114"/>
      <c r="I28" s="114"/>
      <c r="J28" s="121"/>
      <c r="K28" s="114"/>
      <c r="L28" s="114"/>
      <c r="M28" s="114"/>
      <c r="N28" s="114"/>
      <c r="O28" s="131"/>
      <c r="P28" s="132"/>
      <c r="Q28" s="133"/>
      <c r="R28" s="134"/>
      <c r="S28" s="119"/>
    </row>
    <row r="29" spans="1:19" ht="17.25" customHeight="1">
      <c r="A29" s="113"/>
      <c r="B29" s="114"/>
      <c r="C29" s="114"/>
      <c r="D29" s="114"/>
      <c r="E29" s="128"/>
      <c r="F29" s="126"/>
      <c r="G29" s="126"/>
      <c r="H29" s="126"/>
      <c r="I29" s="126"/>
      <c r="J29" s="127"/>
      <c r="K29" s="114"/>
      <c r="L29" s="114"/>
      <c r="M29" s="114"/>
      <c r="N29" s="114"/>
      <c r="O29" s="123"/>
      <c r="P29" s="123"/>
      <c r="Q29" s="123"/>
      <c r="R29" s="114"/>
      <c r="S29" s="119"/>
    </row>
    <row r="30" spans="1:19" ht="17.25" customHeight="1">
      <c r="A30" s="113"/>
      <c r="B30" s="114"/>
      <c r="C30" s="114"/>
      <c r="D30" s="114"/>
      <c r="E30" s="135" t="s">
        <v>212</v>
      </c>
      <c r="F30" s="114"/>
      <c r="G30" s="114" t="s">
        <v>213</v>
      </c>
      <c r="H30" s="114"/>
      <c r="I30" s="114"/>
      <c r="J30" s="114"/>
      <c r="K30" s="114"/>
      <c r="L30" s="114"/>
      <c r="M30" s="114"/>
      <c r="N30" s="114"/>
      <c r="O30" s="135" t="s">
        <v>214</v>
      </c>
      <c r="P30" s="123"/>
      <c r="Q30" s="123"/>
      <c r="R30" s="136"/>
      <c r="S30" s="119"/>
    </row>
    <row r="31" spans="1:19" ht="17.25" customHeight="1">
      <c r="A31" s="113"/>
      <c r="B31" s="114"/>
      <c r="C31" s="114"/>
      <c r="D31" s="114"/>
      <c r="E31" s="131">
        <v>897879798</v>
      </c>
      <c r="F31" s="114"/>
      <c r="G31" s="132" t="s">
        <v>215</v>
      </c>
      <c r="H31" s="137"/>
      <c r="I31" s="138"/>
      <c r="J31" s="114"/>
      <c r="K31" s="114"/>
      <c r="L31" s="114"/>
      <c r="M31" s="114"/>
      <c r="N31" s="114"/>
      <c r="O31" s="284" t="s">
        <v>286</v>
      </c>
      <c r="P31" s="123"/>
      <c r="Q31" s="123"/>
      <c r="R31" s="139"/>
      <c r="S31" s="119"/>
    </row>
    <row r="32" spans="1:19" ht="8.2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</row>
    <row r="33" spans="1:19" ht="20.25" customHeight="1">
      <c r="A33" s="143"/>
      <c r="B33" s="144"/>
      <c r="C33" s="144"/>
      <c r="D33" s="144"/>
      <c r="E33" s="145" t="s">
        <v>216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6"/>
    </row>
    <row r="34" spans="1:19" ht="20.25" customHeight="1">
      <c r="A34" s="147" t="s">
        <v>217</v>
      </c>
      <c r="B34" s="148"/>
      <c r="C34" s="148"/>
      <c r="D34" s="149"/>
      <c r="E34" s="150" t="s">
        <v>218</v>
      </c>
      <c r="F34" s="149"/>
      <c r="G34" s="150" t="s">
        <v>219</v>
      </c>
      <c r="H34" s="148"/>
      <c r="I34" s="149"/>
      <c r="J34" s="150" t="s">
        <v>220</v>
      </c>
      <c r="K34" s="148"/>
      <c r="L34" s="150" t="s">
        <v>221</v>
      </c>
      <c r="M34" s="148"/>
      <c r="N34" s="148"/>
      <c r="O34" s="149"/>
      <c r="P34" s="150" t="s">
        <v>222</v>
      </c>
      <c r="Q34" s="148"/>
      <c r="R34" s="148"/>
      <c r="S34" s="151"/>
    </row>
    <row r="35" spans="1:19" ht="20.25" customHeight="1">
      <c r="A35" s="152"/>
      <c r="B35" s="153"/>
      <c r="C35" s="153"/>
      <c r="D35" s="154">
        <v>0</v>
      </c>
      <c r="E35" s="155">
        <f>IF(D35=0,0,R47/D35)</f>
        <v>0</v>
      </c>
      <c r="F35" s="156"/>
      <c r="G35" s="157"/>
      <c r="H35" s="153"/>
      <c r="I35" s="154">
        <v>0</v>
      </c>
      <c r="J35" s="155">
        <f>IF(I35=0,0,R47/I35)</f>
        <v>0</v>
      </c>
      <c r="K35" s="158"/>
      <c r="L35" s="157"/>
      <c r="M35" s="153"/>
      <c r="N35" s="153"/>
      <c r="O35" s="154">
        <v>0</v>
      </c>
      <c r="P35" s="157"/>
      <c r="Q35" s="153"/>
      <c r="R35" s="159">
        <f>IF(O35=0,0,R47/O35)</f>
        <v>0</v>
      </c>
      <c r="S35" s="160"/>
    </row>
    <row r="36" spans="1:19" ht="20.25" customHeight="1">
      <c r="A36" s="143"/>
      <c r="B36" s="144"/>
      <c r="C36" s="144"/>
      <c r="D36" s="144"/>
      <c r="E36" s="145" t="s">
        <v>223</v>
      </c>
      <c r="F36" s="144"/>
      <c r="G36" s="144"/>
      <c r="H36" s="144"/>
      <c r="I36" s="144"/>
      <c r="J36" s="161" t="s">
        <v>224</v>
      </c>
      <c r="K36" s="144"/>
      <c r="L36" s="144"/>
      <c r="M36" s="144"/>
      <c r="N36" s="144"/>
      <c r="O36" s="144"/>
      <c r="P36" s="144"/>
      <c r="Q36" s="144"/>
      <c r="R36" s="144"/>
      <c r="S36" s="146"/>
    </row>
    <row r="37" spans="1:19" ht="20.25" customHeight="1">
      <c r="A37" s="162" t="s">
        <v>225</v>
      </c>
      <c r="B37" s="163"/>
      <c r="C37" s="164" t="s">
        <v>226</v>
      </c>
      <c r="D37" s="165"/>
      <c r="E37" s="165"/>
      <c r="F37" s="166"/>
      <c r="G37" s="167" t="s">
        <v>227</v>
      </c>
      <c r="H37" s="168"/>
      <c r="I37" s="164" t="s">
        <v>228</v>
      </c>
      <c r="J37" s="165"/>
      <c r="K37" s="165"/>
      <c r="L37" s="167" t="s">
        <v>229</v>
      </c>
      <c r="M37" s="168"/>
      <c r="N37" s="164" t="s">
        <v>230</v>
      </c>
      <c r="O37" s="165"/>
      <c r="P37" s="165"/>
      <c r="Q37" s="165"/>
      <c r="R37" s="165"/>
      <c r="S37" s="169"/>
    </row>
    <row r="38" spans="1:19" ht="20.25" customHeight="1">
      <c r="A38" s="170">
        <v>1</v>
      </c>
      <c r="B38" s="355" t="s">
        <v>284</v>
      </c>
      <c r="C38" s="356"/>
      <c r="D38" s="357"/>
      <c r="E38" s="171">
        <f>MNP!H49</f>
        <v>-36260.770000000004</v>
      </c>
      <c r="F38" s="172"/>
      <c r="G38" s="173">
        <v>8</v>
      </c>
      <c r="H38" s="174" t="s">
        <v>231</v>
      </c>
      <c r="I38" s="134"/>
      <c r="J38" s="175">
        <v>0</v>
      </c>
      <c r="K38" s="176"/>
      <c r="L38" s="173">
        <v>13</v>
      </c>
      <c r="M38" s="132" t="s">
        <v>232</v>
      </c>
      <c r="N38" s="137"/>
      <c r="O38" s="137"/>
      <c r="P38" s="358">
        <v>0.015</v>
      </c>
      <c r="Q38" s="359"/>
      <c r="R38" s="177">
        <f>P38*E44</f>
        <v>-543.91155</v>
      </c>
      <c r="S38" s="178"/>
    </row>
    <row r="39" spans="1:19" ht="20.25" customHeight="1">
      <c r="A39" s="170">
        <v>2</v>
      </c>
      <c r="B39" s="355"/>
      <c r="C39" s="356"/>
      <c r="D39" s="357"/>
      <c r="E39" s="171"/>
      <c r="F39" s="172"/>
      <c r="G39" s="173">
        <v>9</v>
      </c>
      <c r="H39" s="114" t="s">
        <v>233</v>
      </c>
      <c r="I39" s="179"/>
      <c r="J39" s="175">
        <v>0</v>
      </c>
      <c r="K39" s="176"/>
      <c r="L39" s="173">
        <v>14</v>
      </c>
      <c r="M39" s="132" t="s">
        <v>234</v>
      </c>
      <c r="N39" s="137"/>
      <c r="O39" s="137"/>
      <c r="P39" s="358">
        <v>0.01</v>
      </c>
      <c r="Q39" s="359"/>
      <c r="R39" s="177">
        <f>P39*E44</f>
        <v>-362.6077</v>
      </c>
      <c r="S39" s="178"/>
    </row>
    <row r="40" spans="1:19" ht="20.25" customHeight="1">
      <c r="A40" s="170">
        <v>3</v>
      </c>
      <c r="B40" s="355"/>
      <c r="C40" s="356"/>
      <c r="D40" s="357"/>
      <c r="E40" s="171"/>
      <c r="F40" s="172"/>
      <c r="G40" s="173">
        <v>10</v>
      </c>
      <c r="H40" s="174" t="s">
        <v>235</v>
      </c>
      <c r="I40" s="134"/>
      <c r="J40" s="175">
        <v>0</v>
      </c>
      <c r="K40" s="176"/>
      <c r="L40" s="173">
        <v>15</v>
      </c>
      <c r="M40" s="132" t="s">
        <v>236</v>
      </c>
      <c r="N40" s="137"/>
      <c r="O40" s="137"/>
      <c r="P40" s="358">
        <v>0.019</v>
      </c>
      <c r="Q40" s="359"/>
      <c r="R40" s="177">
        <f>P40*E44</f>
        <v>-688.9546300000001</v>
      </c>
      <c r="S40" s="178"/>
    </row>
    <row r="41" spans="1:19" ht="20.25" customHeight="1">
      <c r="A41" s="170">
        <v>4</v>
      </c>
      <c r="B41" s="355"/>
      <c r="C41" s="356"/>
      <c r="D41" s="357"/>
      <c r="E41" s="171"/>
      <c r="F41" s="172"/>
      <c r="G41" s="173">
        <v>11</v>
      </c>
      <c r="H41" s="174"/>
      <c r="I41" s="134"/>
      <c r="J41" s="175">
        <v>0</v>
      </c>
      <c r="K41" s="176"/>
      <c r="L41" s="173">
        <v>16</v>
      </c>
      <c r="M41" s="132" t="s">
        <v>254</v>
      </c>
      <c r="N41" s="137"/>
      <c r="O41" s="137"/>
      <c r="P41" s="358">
        <v>0.003</v>
      </c>
      <c r="Q41" s="359"/>
      <c r="R41" s="177">
        <f>P41*E44</f>
        <v>-108.78231000000001</v>
      </c>
      <c r="S41" s="178"/>
    </row>
    <row r="42" spans="1:19" ht="20.25" customHeight="1">
      <c r="A42" s="170">
        <v>5</v>
      </c>
      <c r="B42" s="355"/>
      <c r="C42" s="356"/>
      <c r="D42" s="357"/>
      <c r="E42" s="180"/>
      <c r="F42" s="172"/>
      <c r="G42" s="181"/>
      <c r="H42" s="137"/>
      <c r="I42" s="134"/>
      <c r="J42" s="175"/>
      <c r="K42" s="176"/>
      <c r="L42" s="173">
        <v>17</v>
      </c>
      <c r="M42" s="132"/>
      <c r="N42" s="137"/>
      <c r="O42" s="137"/>
      <c r="P42" s="358"/>
      <c r="Q42" s="359"/>
      <c r="R42" s="177"/>
      <c r="S42" s="178"/>
    </row>
    <row r="43" spans="1:23" ht="20.25" customHeight="1">
      <c r="A43" s="170">
        <v>6</v>
      </c>
      <c r="B43" s="355"/>
      <c r="C43" s="356"/>
      <c r="D43" s="357"/>
      <c r="E43" s="180"/>
      <c r="F43" s="172"/>
      <c r="G43" s="181"/>
      <c r="H43" s="137"/>
      <c r="I43" s="134"/>
      <c r="J43" s="175"/>
      <c r="K43" s="176"/>
      <c r="L43" s="173">
        <v>18</v>
      </c>
      <c r="M43" s="174"/>
      <c r="N43" s="137"/>
      <c r="O43" s="137"/>
      <c r="P43" s="358"/>
      <c r="Q43" s="359"/>
      <c r="R43" s="177"/>
      <c r="S43" s="178"/>
      <c r="U43" s="303"/>
      <c r="W43" s="301"/>
    </row>
    <row r="44" spans="1:19" ht="20.25" customHeight="1">
      <c r="A44" s="170">
        <v>7</v>
      </c>
      <c r="B44" s="182" t="s">
        <v>237</v>
      </c>
      <c r="C44" s="137"/>
      <c r="D44" s="134"/>
      <c r="E44" s="183">
        <f>SUM(E38:E41)</f>
        <v>-36260.770000000004</v>
      </c>
      <c r="F44" s="184"/>
      <c r="G44" s="173">
        <v>12</v>
      </c>
      <c r="H44" s="182" t="s">
        <v>238</v>
      </c>
      <c r="I44" s="134"/>
      <c r="J44" s="185">
        <f>SUM(J38:J41)</f>
        <v>0</v>
      </c>
      <c r="K44" s="186"/>
      <c r="L44" s="173">
        <v>19</v>
      </c>
      <c r="M44" s="187" t="s">
        <v>239</v>
      </c>
      <c r="N44" s="116"/>
      <c r="O44" s="116"/>
      <c r="P44" s="358">
        <f>SUM(P38:Q43)</f>
        <v>0.047</v>
      </c>
      <c r="Q44" s="359"/>
      <c r="R44" s="188">
        <f>SUM(R38:R43)</f>
        <v>-1704.25619</v>
      </c>
      <c r="S44" s="146"/>
    </row>
    <row r="45" spans="1:26" ht="20.25" customHeight="1">
      <c r="A45" s="189">
        <v>20</v>
      </c>
      <c r="B45" s="190" t="s">
        <v>240</v>
      </c>
      <c r="C45" s="191"/>
      <c r="D45" s="192"/>
      <c r="E45" s="193">
        <v>0</v>
      </c>
      <c r="F45" s="194"/>
      <c r="G45" s="195">
        <v>21</v>
      </c>
      <c r="H45" s="190" t="s">
        <v>241</v>
      </c>
      <c r="I45" s="192"/>
      <c r="J45" s="196">
        <f>E44*0.002</f>
        <v>-72.52154000000002</v>
      </c>
      <c r="K45" s="197">
        <f>M49</f>
        <v>21</v>
      </c>
      <c r="L45" s="195">
        <v>22</v>
      </c>
      <c r="M45" s="190" t="s">
        <v>242</v>
      </c>
      <c r="N45" s="191"/>
      <c r="O45" s="191"/>
      <c r="P45" s="191"/>
      <c r="Q45" s="192"/>
      <c r="R45" s="198">
        <v>0</v>
      </c>
      <c r="S45" s="142"/>
      <c r="U45" s="304"/>
      <c r="V45" s="304"/>
      <c r="W45" s="305"/>
      <c r="X45" s="307"/>
      <c r="Y45" s="307"/>
      <c r="Z45" s="302"/>
    </row>
    <row r="46" spans="1:23" ht="20.25" customHeight="1" thickBot="1">
      <c r="A46" s="199" t="s">
        <v>209</v>
      </c>
      <c r="B46" s="111"/>
      <c r="C46" s="111"/>
      <c r="D46" s="111"/>
      <c r="E46" s="111"/>
      <c r="F46" s="200"/>
      <c r="G46" s="201"/>
      <c r="H46" s="111"/>
      <c r="I46" s="111"/>
      <c r="J46" s="111"/>
      <c r="K46" s="111"/>
      <c r="L46" s="202" t="s">
        <v>243</v>
      </c>
      <c r="M46" s="200"/>
      <c r="N46" s="203" t="s">
        <v>244</v>
      </c>
      <c r="O46" s="111"/>
      <c r="P46" s="111"/>
      <c r="Q46" s="111"/>
      <c r="R46" s="204"/>
      <c r="S46" s="112"/>
      <c r="U46" s="303"/>
      <c r="W46" s="286"/>
    </row>
    <row r="47" spans="1:23" ht="20.25" customHeight="1" thickBot="1">
      <c r="A47" s="113"/>
      <c r="B47" s="114"/>
      <c r="C47" s="114"/>
      <c r="D47" s="114"/>
      <c r="E47" s="114"/>
      <c r="F47" s="121"/>
      <c r="G47" s="205"/>
      <c r="H47" s="114"/>
      <c r="I47" s="114"/>
      <c r="J47" s="114"/>
      <c r="K47" s="114"/>
      <c r="L47" s="206">
        <v>23</v>
      </c>
      <c r="M47" s="207" t="s">
        <v>245</v>
      </c>
      <c r="N47" s="208"/>
      <c r="O47" s="208"/>
      <c r="P47" s="208"/>
      <c r="Q47" s="209"/>
      <c r="R47" s="210">
        <f>ROUND(E44+J44+R44+E45+J45+R45,2)</f>
        <v>-38037.55</v>
      </c>
      <c r="S47" s="211"/>
      <c r="U47" s="303"/>
      <c r="W47" s="286"/>
    </row>
    <row r="48" spans="1:23" ht="20.25" customHeight="1">
      <c r="A48" s="212" t="s">
        <v>246</v>
      </c>
      <c r="B48" s="126"/>
      <c r="C48" s="126"/>
      <c r="D48" s="126"/>
      <c r="E48" s="126"/>
      <c r="F48" s="127"/>
      <c r="G48" s="213" t="s">
        <v>247</v>
      </c>
      <c r="H48" s="126"/>
      <c r="I48" s="126"/>
      <c r="J48" s="126"/>
      <c r="K48" s="126"/>
      <c r="L48" s="214">
        <v>24</v>
      </c>
      <c r="M48" s="215">
        <v>15</v>
      </c>
      <c r="N48" s="127" t="s">
        <v>248</v>
      </c>
      <c r="O48" s="216">
        <v>0</v>
      </c>
      <c r="P48" s="126" t="s">
        <v>249</v>
      </c>
      <c r="Q48" s="127"/>
      <c r="R48" s="217"/>
      <c r="S48" s="218"/>
      <c r="U48" s="303"/>
      <c r="W48" s="286"/>
    </row>
    <row r="49" spans="1:23" ht="20.25" customHeight="1" thickBot="1">
      <c r="A49" s="219" t="s">
        <v>208</v>
      </c>
      <c r="B49" s="116"/>
      <c r="C49" s="116"/>
      <c r="D49" s="116"/>
      <c r="E49" s="116"/>
      <c r="F49" s="117"/>
      <c r="G49" s="220"/>
      <c r="H49" s="116"/>
      <c r="I49" s="116"/>
      <c r="J49" s="116"/>
      <c r="K49" s="116"/>
      <c r="L49" s="221">
        <v>25</v>
      </c>
      <c r="M49" s="222">
        <v>21</v>
      </c>
      <c r="N49" s="117" t="s">
        <v>248</v>
      </c>
      <c r="O49" s="223">
        <f>R47</f>
        <v>-38037.55</v>
      </c>
      <c r="P49" s="116" t="s">
        <v>249</v>
      </c>
      <c r="Q49" s="117"/>
      <c r="R49" s="224">
        <f>ROUNDUP(O49*M49/100,1)</f>
        <v>-7987.900000000001</v>
      </c>
      <c r="S49" s="225"/>
      <c r="W49" s="286"/>
    </row>
    <row r="50" spans="1:19" ht="20.25" customHeight="1" thickBot="1">
      <c r="A50" s="113"/>
      <c r="B50" s="114"/>
      <c r="C50" s="114"/>
      <c r="D50" s="114"/>
      <c r="E50" s="114"/>
      <c r="F50" s="121"/>
      <c r="G50" s="205"/>
      <c r="H50" s="114"/>
      <c r="I50" s="114"/>
      <c r="J50" s="114"/>
      <c r="K50" s="114"/>
      <c r="L50" s="226">
        <v>26</v>
      </c>
      <c r="M50" s="227" t="s">
        <v>250</v>
      </c>
      <c r="N50" s="228"/>
      <c r="O50" s="228"/>
      <c r="P50" s="228"/>
      <c r="Q50" s="229"/>
      <c r="R50" s="230">
        <f>R47+R48+R49</f>
        <v>-46025.450000000004</v>
      </c>
      <c r="S50" s="231"/>
    </row>
    <row r="51" spans="1:19" ht="20.25" customHeight="1">
      <c r="A51" s="212" t="s">
        <v>246</v>
      </c>
      <c r="B51" s="126"/>
      <c r="C51" s="126"/>
      <c r="D51" s="126"/>
      <c r="E51" s="126"/>
      <c r="F51" s="127"/>
      <c r="G51" s="213" t="s">
        <v>247</v>
      </c>
      <c r="H51" s="126"/>
      <c r="I51" s="126"/>
      <c r="J51" s="126"/>
      <c r="K51" s="126"/>
      <c r="L51" s="240"/>
      <c r="M51" s="360"/>
      <c r="N51" s="361"/>
      <c r="O51" s="361"/>
      <c r="P51" s="361"/>
      <c r="Q51" s="361"/>
      <c r="R51" s="361"/>
      <c r="S51" s="362"/>
    </row>
    <row r="52" spans="1:19" ht="20.25" customHeight="1">
      <c r="A52" s="219" t="s">
        <v>210</v>
      </c>
      <c r="B52" s="116"/>
      <c r="C52" s="116"/>
      <c r="D52" s="116"/>
      <c r="E52" s="116"/>
      <c r="F52" s="117"/>
      <c r="G52" s="220"/>
      <c r="H52" s="116"/>
      <c r="I52" s="116"/>
      <c r="J52" s="116"/>
      <c r="K52" s="116"/>
      <c r="L52" s="363"/>
      <c r="M52" s="364"/>
      <c r="N52" s="364"/>
      <c r="O52" s="364"/>
      <c r="P52" s="364"/>
      <c r="Q52" s="364"/>
      <c r="R52" s="364"/>
      <c r="S52" s="365"/>
    </row>
    <row r="53" spans="1:19" ht="20.25" customHeight="1">
      <c r="A53" s="113"/>
      <c r="B53" s="114"/>
      <c r="C53" s="114"/>
      <c r="D53" s="114"/>
      <c r="E53" s="114"/>
      <c r="F53" s="121"/>
      <c r="G53" s="205"/>
      <c r="H53" s="114"/>
      <c r="I53" s="114"/>
      <c r="J53" s="114"/>
      <c r="K53" s="114"/>
      <c r="L53" s="366"/>
      <c r="M53" s="367"/>
      <c r="N53" s="367"/>
      <c r="O53" s="367"/>
      <c r="P53" s="367"/>
      <c r="Q53" s="367"/>
      <c r="R53" s="367"/>
      <c r="S53" s="368"/>
    </row>
    <row r="54" spans="1:19" ht="20.25" customHeight="1" thickBot="1">
      <c r="A54" s="232" t="s">
        <v>246</v>
      </c>
      <c r="B54" s="233"/>
      <c r="C54" s="233"/>
      <c r="D54" s="233"/>
      <c r="E54" s="233"/>
      <c r="F54" s="234"/>
      <c r="G54" s="235" t="s">
        <v>247</v>
      </c>
      <c r="H54" s="233"/>
      <c r="I54" s="233"/>
      <c r="J54" s="233"/>
      <c r="K54" s="233"/>
      <c r="L54" s="369"/>
      <c r="M54" s="370"/>
      <c r="N54" s="370"/>
      <c r="O54" s="370"/>
      <c r="P54" s="370"/>
      <c r="Q54" s="370"/>
      <c r="R54" s="370"/>
      <c r="S54" s="371"/>
    </row>
  </sheetData>
  <sheetProtection/>
  <mergeCells count="16">
    <mergeCell ref="P44:Q44"/>
    <mergeCell ref="M51:S51"/>
    <mergeCell ref="L52:S54"/>
    <mergeCell ref="B41:D41"/>
    <mergeCell ref="P41:Q41"/>
    <mergeCell ref="B42:D42"/>
    <mergeCell ref="P42:Q42"/>
    <mergeCell ref="B43:D43"/>
    <mergeCell ref="P43:Q43"/>
    <mergeCell ref="A1:S3"/>
    <mergeCell ref="B38:D38"/>
    <mergeCell ref="P38:Q38"/>
    <mergeCell ref="B39:D39"/>
    <mergeCell ref="P39:Q39"/>
    <mergeCell ref="B40:D40"/>
    <mergeCell ref="P40:Q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pane ySplit="9" topLeftCell="A32" activePane="bottomLeft" state="frozen"/>
      <selection pane="topLeft" activeCell="A1" sqref="A1"/>
      <selection pane="bottomLeft" activeCell="J46" sqref="J46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1.66015625" style="3" customWidth="1"/>
    <col min="4" max="4" width="50" style="3" customWidth="1"/>
    <col min="5" max="5" width="4.33203125" style="3" customWidth="1"/>
    <col min="6" max="6" width="15.33203125" style="4" customWidth="1"/>
    <col min="7" max="7" width="15.66015625" style="5" customWidth="1"/>
    <col min="8" max="8" width="19.16015625" style="5" customWidth="1"/>
    <col min="9" max="9" width="10.5" style="1" customWidth="1"/>
    <col min="10" max="10" width="21.33203125" style="1" customWidth="1"/>
    <col min="11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9"/>
      <c r="G1" s="8"/>
      <c r="H1" s="8"/>
    </row>
    <row r="2" spans="1:8" s="6" customFormat="1" ht="12.75" customHeight="1">
      <c r="A2" s="10" t="s">
        <v>1</v>
      </c>
      <c r="B2" s="11"/>
      <c r="C2" s="11"/>
      <c r="D2" s="11"/>
      <c r="E2" s="11"/>
      <c r="F2" s="9"/>
      <c r="G2" s="8"/>
      <c r="H2" s="8"/>
    </row>
    <row r="3" spans="1:8" s="6" customFormat="1" ht="12.75" customHeight="1">
      <c r="A3" s="10" t="s">
        <v>2</v>
      </c>
      <c r="B3" s="11"/>
      <c r="C3" s="11"/>
      <c r="D3" s="11"/>
      <c r="E3" s="11"/>
      <c r="F3" s="9"/>
      <c r="G3" s="8"/>
      <c r="H3" s="8"/>
    </row>
    <row r="4" spans="1:8" s="6" customFormat="1" ht="12.75" customHeight="1">
      <c r="A4" s="10"/>
      <c r="B4" s="11"/>
      <c r="C4" s="10"/>
      <c r="D4" s="11"/>
      <c r="E4" s="11"/>
      <c r="F4" s="9"/>
      <c r="G4" s="8"/>
      <c r="H4" s="8"/>
    </row>
    <row r="5" spans="1:8" s="6" customFormat="1" ht="12.75" customHeight="1">
      <c r="A5" s="11" t="s">
        <v>3</v>
      </c>
      <c r="B5" s="11"/>
      <c r="C5" s="11"/>
      <c r="D5" s="11"/>
      <c r="E5" s="11"/>
      <c r="F5" s="9"/>
      <c r="G5" s="8"/>
      <c r="H5" s="11" t="s">
        <v>4</v>
      </c>
    </row>
    <row r="6" spans="1:8" s="6" customFormat="1" ht="6" customHeight="1">
      <c r="A6" s="8"/>
      <c r="B6" s="8"/>
      <c r="C6" s="8"/>
      <c r="D6" s="8"/>
      <c r="E6" s="8"/>
      <c r="F6" s="9"/>
      <c r="G6" s="8"/>
      <c r="H6" s="8"/>
    </row>
    <row r="7" spans="1:8" s="6" customFormat="1" ht="24" customHeigh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2" t="s">
        <v>11</v>
      </c>
      <c r="H7" s="12" t="s">
        <v>12</v>
      </c>
    </row>
    <row r="8" spans="1:8" s="6" customFormat="1" ht="12.75" customHeight="1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18</v>
      </c>
      <c r="G8" s="12" t="s">
        <v>19</v>
      </c>
      <c r="H8" s="12" t="s">
        <v>20</v>
      </c>
    </row>
    <row r="9" spans="1:8" s="6" customFormat="1" ht="4.5" customHeight="1">
      <c r="A9" s="8"/>
      <c r="B9" s="8"/>
      <c r="C9" s="8"/>
      <c r="D9" s="8"/>
      <c r="E9" s="8"/>
      <c r="F9" s="9"/>
      <c r="G9" s="8"/>
      <c r="H9" s="8"/>
    </row>
    <row r="10" spans="1:8" s="6" customFormat="1" ht="21" customHeight="1">
      <c r="A10" s="14"/>
      <c r="B10" s="15"/>
      <c r="C10" s="15" t="s">
        <v>21</v>
      </c>
      <c r="D10" s="15" t="s">
        <v>22</v>
      </c>
      <c r="E10" s="15"/>
      <c r="F10" s="16"/>
      <c r="G10" s="17"/>
      <c r="H10" s="17">
        <f>H11+H19+H25+H58</f>
        <v>119486.54999999999</v>
      </c>
    </row>
    <row r="11" spans="1:8" s="6" customFormat="1" ht="21" customHeight="1" thickBot="1">
      <c r="A11" s="14"/>
      <c r="B11" s="15"/>
      <c r="C11" s="15" t="s">
        <v>13</v>
      </c>
      <c r="D11" s="15" t="s">
        <v>23</v>
      </c>
      <c r="E11" s="15"/>
      <c r="F11" s="16"/>
      <c r="G11" s="17"/>
      <c r="H11" s="17">
        <f>SUM(H12:H18)</f>
        <v>28112.75</v>
      </c>
    </row>
    <row r="12" spans="1:8" s="6" customFormat="1" ht="24" customHeight="1">
      <c r="A12" s="60">
        <v>1</v>
      </c>
      <c r="B12" s="61" t="s">
        <v>24</v>
      </c>
      <c r="C12" s="61" t="s">
        <v>25</v>
      </c>
      <c r="D12" s="61" t="s">
        <v>26</v>
      </c>
      <c r="E12" s="61" t="s">
        <v>27</v>
      </c>
      <c r="F12" s="62">
        <v>2</v>
      </c>
      <c r="G12" s="63">
        <v>85</v>
      </c>
      <c r="H12" s="64">
        <f aca="true" t="shared" si="0" ref="H12:H18">F12*G12</f>
        <v>170</v>
      </c>
    </row>
    <row r="13" spans="1:8" s="6" customFormat="1" ht="24" customHeight="1">
      <c r="A13" s="65">
        <v>2</v>
      </c>
      <c r="B13" s="22" t="s">
        <v>24</v>
      </c>
      <c r="C13" s="22" t="s">
        <v>28</v>
      </c>
      <c r="D13" s="22" t="s">
        <v>29</v>
      </c>
      <c r="E13" s="22" t="s">
        <v>30</v>
      </c>
      <c r="F13" s="23">
        <v>134.05</v>
      </c>
      <c r="G13" s="24">
        <v>145</v>
      </c>
      <c r="H13" s="66">
        <f t="shared" si="0"/>
        <v>19437.25</v>
      </c>
    </row>
    <row r="14" spans="1:8" s="6" customFormat="1" ht="13.5" customHeight="1">
      <c r="A14" s="65">
        <v>3</v>
      </c>
      <c r="B14" s="22" t="s">
        <v>24</v>
      </c>
      <c r="C14" s="22" t="s">
        <v>31</v>
      </c>
      <c r="D14" s="22" t="s">
        <v>32</v>
      </c>
      <c r="E14" s="22" t="s">
        <v>33</v>
      </c>
      <c r="F14" s="23">
        <v>268.1</v>
      </c>
      <c r="G14" s="24">
        <v>3</v>
      </c>
      <c r="H14" s="66">
        <f t="shared" si="0"/>
        <v>804.3000000000001</v>
      </c>
    </row>
    <row r="15" spans="1:8" s="6" customFormat="1" ht="13.5" customHeight="1">
      <c r="A15" s="65">
        <v>4</v>
      </c>
      <c r="B15" s="22" t="s">
        <v>24</v>
      </c>
      <c r="C15" s="22" t="s">
        <v>34</v>
      </c>
      <c r="D15" s="22" t="s">
        <v>35</v>
      </c>
      <c r="E15" s="22" t="s">
        <v>33</v>
      </c>
      <c r="F15" s="23">
        <v>268.1</v>
      </c>
      <c r="G15" s="24">
        <v>2</v>
      </c>
      <c r="H15" s="66">
        <f t="shared" si="0"/>
        <v>536.2</v>
      </c>
    </row>
    <row r="16" spans="1:8" s="6" customFormat="1" ht="24" customHeight="1">
      <c r="A16" s="65">
        <v>5</v>
      </c>
      <c r="B16" s="22" t="s">
        <v>24</v>
      </c>
      <c r="C16" s="22" t="s">
        <v>36</v>
      </c>
      <c r="D16" s="22" t="s">
        <v>37</v>
      </c>
      <c r="E16" s="22" t="s">
        <v>30</v>
      </c>
      <c r="F16" s="23">
        <v>134.05</v>
      </c>
      <c r="G16" s="24">
        <v>20</v>
      </c>
      <c r="H16" s="66">
        <f t="shared" si="0"/>
        <v>2681</v>
      </c>
    </row>
    <row r="17" spans="1:8" s="6" customFormat="1" ht="24" customHeight="1">
      <c r="A17" s="65">
        <v>6</v>
      </c>
      <c r="B17" s="22" t="s">
        <v>24</v>
      </c>
      <c r="C17" s="22" t="s">
        <v>38</v>
      </c>
      <c r="D17" s="22" t="s">
        <v>39</v>
      </c>
      <c r="E17" s="22" t="s">
        <v>30</v>
      </c>
      <c r="F17" s="23">
        <v>23.6</v>
      </c>
      <c r="G17" s="24">
        <v>105</v>
      </c>
      <c r="H17" s="66">
        <f t="shared" si="0"/>
        <v>2478</v>
      </c>
    </row>
    <row r="18" spans="1:8" s="6" customFormat="1" ht="24" customHeight="1" thickBot="1">
      <c r="A18" s="67">
        <v>7</v>
      </c>
      <c r="B18" s="68" t="s">
        <v>24</v>
      </c>
      <c r="C18" s="68" t="s">
        <v>40</v>
      </c>
      <c r="D18" s="68" t="s">
        <v>41</v>
      </c>
      <c r="E18" s="68" t="s">
        <v>30</v>
      </c>
      <c r="F18" s="69">
        <v>23.6</v>
      </c>
      <c r="G18" s="70">
        <v>85</v>
      </c>
      <c r="H18" s="71">
        <f t="shared" si="0"/>
        <v>2006.0000000000002</v>
      </c>
    </row>
    <row r="19" spans="1:8" s="6" customFormat="1" ht="21" customHeight="1" thickBot="1">
      <c r="A19" s="14"/>
      <c r="B19" s="15"/>
      <c r="C19" s="15" t="s">
        <v>16</v>
      </c>
      <c r="D19" s="15" t="s">
        <v>42</v>
      </c>
      <c r="E19" s="15"/>
      <c r="F19" s="16"/>
      <c r="G19" s="17"/>
      <c r="H19" s="17">
        <f>SUM(H20:H24)</f>
        <v>14504.3</v>
      </c>
    </row>
    <row r="20" spans="1:8" s="6" customFormat="1" ht="13.5" customHeight="1">
      <c r="A20" s="60">
        <v>8</v>
      </c>
      <c r="B20" s="61" t="s">
        <v>43</v>
      </c>
      <c r="C20" s="61" t="s">
        <v>44</v>
      </c>
      <c r="D20" s="61" t="s">
        <v>45</v>
      </c>
      <c r="E20" s="61" t="s">
        <v>30</v>
      </c>
      <c r="F20" s="62">
        <v>5.9</v>
      </c>
      <c r="G20" s="63">
        <v>819</v>
      </c>
      <c r="H20" s="64">
        <f>F20*G20</f>
        <v>4832.1</v>
      </c>
    </row>
    <row r="21" spans="1:8" s="6" customFormat="1" ht="13.5" customHeight="1">
      <c r="A21" s="65">
        <v>9</v>
      </c>
      <c r="B21" s="22" t="s">
        <v>43</v>
      </c>
      <c r="C21" s="22" t="s">
        <v>46</v>
      </c>
      <c r="D21" s="22" t="s">
        <v>47</v>
      </c>
      <c r="E21" s="22" t="s">
        <v>30</v>
      </c>
      <c r="F21" s="23">
        <v>1.68</v>
      </c>
      <c r="G21" s="24">
        <v>2430</v>
      </c>
      <c r="H21" s="66">
        <f>F21*G21</f>
        <v>4082.3999999999996</v>
      </c>
    </row>
    <row r="22" spans="1:8" s="6" customFormat="1" ht="24" customHeight="1">
      <c r="A22" s="65">
        <v>10</v>
      </c>
      <c r="B22" s="22" t="s">
        <v>43</v>
      </c>
      <c r="C22" s="22" t="s">
        <v>48</v>
      </c>
      <c r="D22" s="22" t="s">
        <v>49</v>
      </c>
      <c r="E22" s="22" t="s">
        <v>33</v>
      </c>
      <c r="F22" s="23">
        <v>6</v>
      </c>
      <c r="G22" s="24">
        <v>265</v>
      </c>
      <c r="H22" s="66">
        <f>F22*G22</f>
        <v>1590</v>
      </c>
    </row>
    <row r="23" spans="1:8" s="6" customFormat="1" ht="24" customHeight="1">
      <c r="A23" s="65">
        <v>11</v>
      </c>
      <c r="B23" s="22" t="s">
        <v>43</v>
      </c>
      <c r="C23" s="22" t="s">
        <v>50</v>
      </c>
      <c r="D23" s="22" t="s">
        <v>51</v>
      </c>
      <c r="E23" s="22" t="s">
        <v>52</v>
      </c>
      <c r="F23" s="23">
        <v>0.12</v>
      </c>
      <c r="G23" s="24">
        <v>29815</v>
      </c>
      <c r="H23" s="66">
        <f>F23*G23</f>
        <v>3577.7999999999997</v>
      </c>
    </row>
    <row r="24" spans="1:8" s="6" customFormat="1" ht="24" customHeight="1" thickBot="1">
      <c r="A24" s="67">
        <v>12</v>
      </c>
      <c r="B24" s="68" t="s">
        <v>43</v>
      </c>
      <c r="C24" s="68" t="s">
        <v>53</v>
      </c>
      <c r="D24" s="68" t="s">
        <v>54</v>
      </c>
      <c r="E24" s="68" t="s">
        <v>55</v>
      </c>
      <c r="F24" s="69">
        <v>2</v>
      </c>
      <c r="G24" s="70">
        <v>211</v>
      </c>
      <c r="H24" s="71">
        <f>F24*G24</f>
        <v>422</v>
      </c>
    </row>
    <row r="25" spans="1:8" s="6" customFormat="1" ht="21" customHeight="1" thickBot="1">
      <c r="A25" s="14"/>
      <c r="B25" s="15"/>
      <c r="C25" s="15" t="s">
        <v>20</v>
      </c>
      <c r="D25" s="15" t="s">
        <v>56</v>
      </c>
      <c r="E25" s="15"/>
      <c r="F25" s="16"/>
      <c r="G25" s="17"/>
      <c r="H25" s="17">
        <f>SUM(H26:H56)</f>
        <v>75962.37999999999</v>
      </c>
    </row>
    <row r="26" spans="1:8" s="6" customFormat="1" ht="24" customHeight="1" thickBot="1">
      <c r="A26" s="29">
        <v>13</v>
      </c>
      <c r="B26" s="30" t="s">
        <v>43</v>
      </c>
      <c r="C26" s="30" t="s">
        <v>57</v>
      </c>
      <c r="D26" s="30" t="s">
        <v>58</v>
      </c>
      <c r="E26" s="30" t="s">
        <v>27</v>
      </c>
      <c r="F26" s="31">
        <v>1</v>
      </c>
      <c r="G26" s="32">
        <v>35.5</v>
      </c>
      <c r="H26" s="33">
        <f>F26*G26</f>
        <v>35.5</v>
      </c>
    </row>
    <row r="27" spans="1:8" s="6" customFormat="1" ht="13.5" customHeight="1" thickBot="1">
      <c r="A27" s="34">
        <v>14</v>
      </c>
      <c r="B27" s="35" t="s">
        <v>59</v>
      </c>
      <c r="C27" s="35" t="s">
        <v>60</v>
      </c>
      <c r="D27" s="35" t="s">
        <v>61</v>
      </c>
      <c r="E27" s="35" t="s">
        <v>27</v>
      </c>
      <c r="F27" s="36">
        <v>1</v>
      </c>
      <c r="G27" s="37">
        <v>67</v>
      </c>
      <c r="H27" s="38">
        <f>F27*G27</f>
        <v>67</v>
      </c>
    </row>
    <row r="28" spans="1:8" s="6" customFormat="1" ht="24" customHeight="1" thickBot="1">
      <c r="A28" s="29">
        <v>15</v>
      </c>
      <c r="B28" s="30" t="s">
        <v>43</v>
      </c>
      <c r="C28" s="30" t="s">
        <v>62</v>
      </c>
      <c r="D28" s="30" t="s">
        <v>63</v>
      </c>
      <c r="E28" s="30" t="s">
        <v>27</v>
      </c>
      <c r="F28" s="31">
        <v>1</v>
      </c>
      <c r="G28" s="32">
        <v>43.5</v>
      </c>
      <c r="H28" s="33">
        <f>F28*G28</f>
        <v>43.5</v>
      </c>
    </row>
    <row r="29" spans="1:8" s="6" customFormat="1" ht="13.5" customHeight="1" thickBot="1">
      <c r="A29" s="34">
        <v>16</v>
      </c>
      <c r="B29" s="35" t="s">
        <v>59</v>
      </c>
      <c r="C29" s="35" t="s">
        <v>64</v>
      </c>
      <c r="D29" s="35" t="s">
        <v>65</v>
      </c>
      <c r="E29" s="35" t="s">
        <v>27</v>
      </c>
      <c r="F29" s="36">
        <v>1</v>
      </c>
      <c r="G29" s="37">
        <v>95</v>
      </c>
      <c r="H29" s="38">
        <f>F29*G29</f>
        <v>95</v>
      </c>
    </row>
    <row r="30" spans="1:8" s="6" customFormat="1" ht="24" customHeight="1" thickBot="1">
      <c r="A30" s="29">
        <v>17</v>
      </c>
      <c r="B30" s="30" t="s">
        <v>43</v>
      </c>
      <c r="C30" s="30" t="s">
        <v>66</v>
      </c>
      <c r="D30" s="30" t="s">
        <v>67</v>
      </c>
      <c r="E30" s="30" t="s">
        <v>27</v>
      </c>
      <c r="F30" s="31">
        <v>17</v>
      </c>
      <c r="G30" s="32">
        <v>28</v>
      </c>
      <c r="H30" s="33">
        <f aca="true" t="shared" si="1" ref="H30:H44">F30*G30</f>
        <v>476</v>
      </c>
    </row>
    <row r="31" spans="1:8" s="6" customFormat="1" ht="13.5" customHeight="1" thickBot="1">
      <c r="A31" s="34">
        <v>18</v>
      </c>
      <c r="B31" s="35" t="s">
        <v>59</v>
      </c>
      <c r="C31" s="35" t="s">
        <v>68</v>
      </c>
      <c r="D31" s="35" t="s">
        <v>69</v>
      </c>
      <c r="E31" s="35" t="s">
        <v>55</v>
      </c>
      <c r="F31" s="36">
        <v>9.223</v>
      </c>
      <c r="G31" s="37">
        <v>175</v>
      </c>
      <c r="H31" s="38">
        <f t="shared" si="1"/>
        <v>1614.025</v>
      </c>
    </row>
    <row r="32" spans="1:8" s="6" customFormat="1" ht="13.5" customHeight="1" thickBot="1">
      <c r="A32" s="39"/>
      <c r="B32" s="40"/>
      <c r="C32" s="40"/>
      <c r="D32" s="40" t="s">
        <v>70</v>
      </c>
      <c r="E32" s="40"/>
      <c r="F32" s="41">
        <v>9.223</v>
      </c>
      <c r="G32" s="42"/>
      <c r="H32" s="33"/>
    </row>
    <row r="33" spans="1:8" s="6" customFormat="1" ht="24" customHeight="1" thickBot="1">
      <c r="A33" s="29">
        <v>19</v>
      </c>
      <c r="B33" s="30" t="s">
        <v>43</v>
      </c>
      <c r="C33" s="30" t="s">
        <v>71</v>
      </c>
      <c r="D33" s="30" t="s">
        <v>72</v>
      </c>
      <c r="E33" s="30" t="s">
        <v>27</v>
      </c>
      <c r="F33" s="31">
        <v>59</v>
      </c>
      <c r="G33" s="32">
        <v>29</v>
      </c>
      <c r="H33" s="38">
        <f t="shared" si="1"/>
        <v>1711</v>
      </c>
    </row>
    <row r="34" spans="1:8" s="6" customFormat="1" ht="13.5" customHeight="1" thickBot="1">
      <c r="A34" s="34">
        <v>20</v>
      </c>
      <c r="B34" s="35" t="s">
        <v>59</v>
      </c>
      <c r="C34" s="35" t="s">
        <v>73</v>
      </c>
      <c r="D34" s="35" t="s">
        <v>74</v>
      </c>
      <c r="E34" s="35" t="s">
        <v>55</v>
      </c>
      <c r="F34" s="36">
        <v>20.65</v>
      </c>
      <c r="G34" s="37">
        <v>574</v>
      </c>
      <c r="H34" s="33">
        <f t="shared" si="1"/>
        <v>11853.099999999999</v>
      </c>
    </row>
    <row r="35" spans="1:8" s="6" customFormat="1" ht="24" customHeight="1" thickBot="1">
      <c r="A35" s="29">
        <v>21</v>
      </c>
      <c r="B35" s="30" t="s">
        <v>43</v>
      </c>
      <c r="C35" s="30" t="s">
        <v>75</v>
      </c>
      <c r="D35" s="30" t="s">
        <v>76</v>
      </c>
      <c r="E35" s="30" t="s">
        <v>55</v>
      </c>
      <c r="F35" s="31">
        <v>8</v>
      </c>
      <c r="G35" s="32">
        <v>39</v>
      </c>
      <c r="H35" s="38">
        <f t="shared" si="1"/>
        <v>312</v>
      </c>
    </row>
    <row r="36" spans="1:8" s="6" customFormat="1" ht="13.5" customHeight="1" thickBot="1">
      <c r="A36" s="43">
        <v>22</v>
      </c>
      <c r="B36" s="44" t="s">
        <v>59</v>
      </c>
      <c r="C36" s="44" t="s">
        <v>77</v>
      </c>
      <c r="D36" s="44" t="s">
        <v>78</v>
      </c>
      <c r="E36" s="44" t="s">
        <v>55</v>
      </c>
      <c r="F36" s="45">
        <v>4</v>
      </c>
      <c r="G36" s="46">
        <v>54.4</v>
      </c>
      <c r="H36" s="33">
        <f t="shared" si="1"/>
        <v>217.6</v>
      </c>
    </row>
    <row r="37" spans="1:8" s="6" customFormat="1" ht="13.5" customHeight="1" thickBot="1">
      <c r="A37" s="47">
        <v>23</v>
      </c>
      <c r="B37" s="48" t="s">
        <v>59</v>
      </c>
      <c r="C37" s="48" t="s">
        <v>79</v>
      </c>
      <c r="D37" s="48" t="s">
        <v>80</v>
      </c>
      <c r="E37" s="48" t="s">
        <v>55</v>
      </c>
      <c r="F37" s="49">
        <v>4</v>
      </c>
      <c r="G37" s="50">
        <v>2187</v>
      </c>
      <c r="H37" s="38">
        <f t="shared" si="1"/>
        <v>8748</v>
      </c>
    </row>
    <row r="38" spans="1:8" s="6" customFormat="1" ht="24" customHeight="1" thickBot="1">
      <c r="A38" s="29">
        <v>24</v>
      </c>
      <c r="B38" s="30" t="s">
        <v>43</v>
      </c>
      <c r="C38" s="30" t="s">
        <v>81</v>
      </c>
      <c r="D38" s="30" t="s">
        <v>82</v>
      </c>
      <c r="E38" s="30" t="s">
        <v>55</v>
      </c>
      <c r="F38" s="31">
        <v>2</v>
      </c>
      <c r="G38" s="32">
        <v>56</v>
      </c>
      <c r="H38" s="33">
        <f t="shared" si="1"/>
        <v>112</v>
      </c>
    </row>
    <row r="39" spans="1:8" s="6" customFormat="1" ht="13.5" customHeight="1" thickBot="1">
      <c r="A39" s="34">
        <v>25</v>
      </c>
      <c r="B39" s="35" t="s">
        <v>59</v>
      </c>
      <c r="C39" s="35" t="s">
        <v>83</v>
      </c>
      <c r="D39" s="35" t="s">
        <v>84</v>
      </c>
      <c r="E39" s="35" t="s">
        <v>55</v>
      </c>
      <c r="F39" s="36">
        <v>2</v>
      </c>
      <c r="G39" s="37">
        <v>100</v>
      </c>
      <c r="H39" s="38">
        <f t="shared" si="1"/>
        <v>200</v>
      </c>
    </row>
    <row r="40" spans="1:8" s="6" customFormat="1" ht="13.5" customHeight="1" thickBot="1">
      <c r="A40" s="29">
        <v>26</v>
      </c>
      <c r="B40" s="30" t="s">
        <v>43</v>
      </c>
      <c r="C40" s="30" t="s">
        <v>85</v>
      </c>
      <c r="D40" s="30" t="s">
        <v>86</v>
      </c>
      <c r="E40" s="30" t="s">
        <v>55</v>
      </c>
      <c r="F40" s="31">
        <v>2</v>
      </c>
      <c r="G40" s="32">
        <v>570</v>
      </c>
      <c r="H40" s="33">
        <f t="shared" si="1"/>
        <v>1140</v>
      </c>
    </row>
    <row r="41" spans="1:10" s="6" customFormat="1" ht="13.5" customHeight="1" thickBot="1">
      <c r="A41" s="43">
        <v>27</v>
      </c>
      <c r="B41" s="44" t="s">
        <v>87</v>
      </c>
      <c r="C41" s="44" t="s">
        <v>88</v>
      </c>
      <c r="D41" s="44" t="s">
        <v>89</v>
      </c>
      <c r="E41" s="44" t="s">
        <v>55</v>
      </c>
      <c r="F41" s="45">
        <v>2</v>
      </c>
      <c r="G41" s="46">
        <v>5660</v>
      </c>
      <c r="H41" s="38">
        <f t="shared" si="1"/>
        <v>11320</v>
      </c>
      <c r="J41" s="262"/>
    </row>
    <row r="42" spans="1:8" s="6" customFormat="1" ht="13.5" customHeight="1" thickBot="1">
      <c r="A42" s="47">
        <v>28</v>
      </c>
      <c r="B42" s="48" t="s">
        <v>87</v>
      </c>
      <c r="C42" s="48" t="s">
        <v>90</v>
      </c>
      <c r="D42" s="48" t="s">
        <v>91</v>
      </c>
      <c r="E42" s="48" t="s">
        <v>55</v>
      </c>
      <c r="F42" s="49">
        <v>2</v>
      </c>
      <c r="G42" s="50">
        <v>200</v>
      </c>
      <c r="H42" s="33">
        <f t="shared" si="1"/>
        <v>400</v>
      </c>
    </row>
    <row r="43" spans="1:8" s="6" customFormat="1" ht="13.5" customHeight="1" thickBot="1">
      <c r="A43" s="29">
        <v>29</v>
      </c>
      <c r="B43" s="30" t="s">
        <v>43</v>
      </c>
      <c r="C43" s="30" t="s">
        <v>92</v>
      </c>
      <c r="D43" s="30" t="s">
        <v>93</v>
      </c>
      <c r="E43" s="30" t="s">
        <v>55</v>
      </c>
      <c r="F43" s="31">
        <v>1</v>
      </c>
      <c r="G43" s="32">
        <v>348</v>
      </c>
      <c r="H43" s="38">
        <f t="shared" si="1"/>
        <v>348</v>
      </c>
    </row>
    <row r="44" spans="1:8" s="6" customFormat="1" ht="13.5" customHeight="1" thickBot="1">
      <c r="A44" s="34">
        <v>30</v>
      </c>
      <c r="B44" s="35" t="s">
        <v>94</v>
      </c>
      <c r="C44" s="35" t="s">
        <v>95</v>
      </c>
      <c r="D44" s="35" t="s">
        <v>96</v>
      </c>
      <c r="E44" s="35" t="s">
        <v>55</v>
      </c>
      <c r="F44" s="36">
        <v>1</v>
      </c>
      <c r="G44" s="37">
        <v>7948</v>
      </c>
      <c r="H44" s="33">
        <f t="shared" si="1"/>
        <v>7948</v>
      </c>
    </row>
    <row r="45" spans="1:8" s="6" customFormat="1" ht="30" customHeight="1" thickBot="1">
      <c r="A45" s="51"/>
      <c r="B45" s="52"/>
      <c r="C45" s="52"/>
      <c r="D45" s="52" t="s">
        <v>97</v>
      </c>
      <c r="E45" s="52"/>
      <c r="F45" s="53"/>
      <c r="G45" s="54"/>
      <c r="H45" s="55"/>
    </row>
    <row r="46" spans="1:8" s="6" customFormat="1" ht="24" customHeight="1" thickBot="1">
      <c r="A46" s="29">
        <v>31</v>
      </c>
      <c r="B46" s="30" t="s">
        <v>43</v>
      </c>
      <c r="C46" s="30" t="s">
        <v>98</v>
      </c>
      <c r="D46" s="30" t="s">
        <v>99</v>
      </c>
      <c r="E46" s="30" t="s">
        <v>55</v>
      </c>
      <c r="F46" s="31">
        <v>2</v>
      </c>
      <c r="G46" s="32">
        <f>2288+5988+245</f>
        <v>8521</v>
      </c>
      <c r="H46" s="33">
        <f>F46*G46</f>
        <v>17042</v>
      </c>
    </row>
    <row r="47" spans="1:8" s="6" customFormat="1" ht="24" customHeight="1" thickBot="1">
      <c r="A47" s="34">
        <v>32</v>
      </c>
      <c r="B47" s="35" t="s">
        <v>100</v>
      </c>
      <c r="C47" s="35" t="s">
        <v>101</v>
      </c>
      <c r="D47" s="35" t="s">
        <v>102</v>
      </c>
      <c r="E47" s="35" t="s">
        <v>55</v>
      </c>
      <c r="F47" s="36">
        <v>4.04</v>
      </c>
      <c r="G47" s="37">
        <v>777</v>
      </c>
      <c r="H47" s="38">
        <f>F47*G47</f>
        <v>3139.08</v>
      </c>
    </row>
    <row r="48" spans="1:8" s="6" customFormat="1" ht="13.5" customHeight="1" thickBot="1">
      <c r="A48" s="39"/>
      <c r="B48" s="40"/>
      <c r="C48" s="40"/>
      <c r="D48" s="40" t="s">
        <v>103</v>
      </c>
      <c r="E48" s="40"/>
      <c r="F48" s="41">
        <v>4.04</v>
      </c>
      <c r="G48" s="42"/>
      <c r="H48" s="38"/>
    </row>
    <row r="49" spans="1:8" s="6" customFormat="1" ht="24" customHeight="1" thickBot="1">
      <c r="A49" s="34">
        <v>33</v>
      </c>
      <c r="B49" s="35" t="s">
        <v>100</v>
      </c>
      <c r="C49" s="35" t="s">
        <v>104</v>
      </c>
      <c r="D49" s="35" t="s">
        <v>105</v>
      </c>
      <c r="E49" s="35" t="s">
        <v>55</v>
      </c>
      <c r="F49" s="36">
        <v>2.02</v>
      </c>
      <c r="G49" s="37">
        <v>1360</v>
      </c>
      <c r="H49" s="38">
        <f aca="true" t="shared" si="2" ref="H49:H56">F49*G49</f>
        <v>2747.2</v>
      </c>
    </row>
    <row r="50" spans="1:8" s="6" customFormat="1" ht="13.5" customHeight="1" thickBot="1">
      <c r="A50" s="39"/>
      <c r="B50" s="40"/>
      <c r="C50" s="40"/>
      <c r="D50" s="40" t="s">
        <v>106</v>
      </c>
      <c r="E50" s="40"/>
      <c r="F50" s="41">
        <v>2.02</v>
      </c>
      <c r="G50" s="42"/>
      <c r="H50" s="38"/>
    </row>
    <row r="51" spans="1:8" s="6" customFormat="1" ht="24" customHeight="1" thickBot="1">
      <c r="A51" s="29">
        <v>34</v>
      </c>
      <c r="B51" s="30" t="s">
        <v>43</v>
      </c>
      <c r="C51" s="30" t="s">
        <v>107</v>
      </c>
      <c r="D51" s="30" t="s">
        <v>108</v>
      </c>
      <c r="E51" s="30" t="s">
        <v>55</v>
      </c>
      <c r="F51" s="31">
        <v>2</v>
      </c>
      <c r="G51" s="32">
        <v>98</v>
      </c>
      <c r="H51" s="38">
        <f t="shared" si="2"/>
        <v>196</v>
      </c>
    </row>
    <row r="52" spans="1:8" s="6" customFormat="1" ht="13.5" customHeight="1" thickBot="1">
      <c r="A52" s="34">
        <v>35</v>
      </c>
      <c r="B52" s="35" t="s">
        <v>109</v>
      </c>
      <c r="C52" s="35" t="s">
        <v>110</v>
      </c>
      <c r="D52" s="35" t="s">
        <v>111</v>
      </c>
      <c r="E52" s="35" t="s">
        <v>55</v>
      </c>
      <c r="F52" s="36">
        <v>2</v>
      </c>
      <c r="G52" s="37">
        <v>1642</v>
      </c>
      <c r="H52" s="38">
        <f t="shared" si="2"/>
        <v>3284</v>
      </c>
    </row>
    <row r="53" spans="1:8" s="6" customFormat="1" ht="13.5" customHeight="1" thickBot="1">
      <c r="A53" s="29">
        <v>36</v>
      </c>
      <c r="B53" s="30" t="s">
        <v>43</v>
      </c>
      <c r="C53" s="30" t="s">
        <v>112</v>
      </c>
      <c r="D53" s="30" t="s">
        <v>113</v>
      </c>
      <c r="E53" s="30" t="s">
        <v>55</v>
      </c>
      <c r="F53" s="31">
        <v>2</v>
      </c>
      <c r="G53" s="32">
        <v>215</v>
      </c>
      <c r="H53" s="38">
        <f t="shared" si="2"/>
        <v>430</v>
      </c>
    </row>
    <row r="54" spans="1:8" s="6" customFormat="1" ht="13.5" customHeight="1" thickBot="1">
      <c r="A54" s="34">
        <v>37</v>
      </c>
      <c r="B54" s="35" t="s">
        <v>87</v>
      </c>
      <c r="C54" s="35" t="s">
        <v>114</v>
      </c>
      <c r="D54" s="35" t="s">
        <v>115</v>
      </c>
      <c r="E54" s="35" t="s">
        <v>55</v>
      </c>
      <c r="F54" s="36">
        <v>2</v>
      </c>
      <c r="G54" s="37">
        <v>422</v>
      </c>
      <c r="H54" s="38">
        <f t="shared" si="2"/>
        <v>844</v>
      </c>
    </row>
    <row r="55" spans="1:8" s="6" customFormat="1" ht="24" customHeight="1" thickBot="1">
      <c r="A55" s="18">
        <v>38</v>
      </c>
      <c r="B55" s="19" t="s">
        <v>43</v>
      </c>
      <c r="C55" s="19" t="s">
        <v>116</v>
      </c>
      <c r="D55" s="19" t="s">
        <v>117</v>
      </c>
      <c r="E55" s="19" t="s">
        <v>30</v>
      </c>
      <c r="F55" s="20">
        <v>0.125</v>
      </c>
      <c r="G55" s="21">
        <v>2811</v>
      </c>
      <c r="H55" s="38">
        <f t="shared" si="2"/>
        <v>351.375</v>
      </c>
    </row>
    <row r="56" spans="1:8" s="6" customFormat="1" ht="13.5" customHeight="1" thickBot="1">
      <c r="A56" s="25">
        <v>39</v>
      </c>
      <c r="B56" s="26" t="s">
        <v>43</v>
      </c>
      <c r="C56" s="26" t="s">
        <v>118</v>
      </c>
      <c r="D56" s="26" t="s">
        <v>119</v>
      </c>
      <c r="E56" s="26" t="s">
        <v>33</v>
      </c>
      <c r="F56" s="27">
        <v>4.6</v>
      </c>
      <c r="G56" s="28">
        <v>280</v>
      </c>
      <c r="H56" s="38">
        <f t="shared" si="2"/>
        <v>1288</v>
      </c>
    </row>
    <row r="57" spans="1:8" s="6" customFormat="1" ht="21" customHeight="1">
      <c r="A57" s="14"/>
      <c r="B57" s="15"/>
      <c r="C57" s="15" t="s">
        <v>120</v>
      </c>
      <c r="D57" s="15" t="s">
        <v>121</v>
      </c>
      <c r="E57" s="15"/>
      <c r="F57" s="16"/>
      <c r="G57" s="17"/>
      <c r="H57" s="17"/>
    </row>
    <row r="58" spans="1:8" s="6" customFormat="1" ht="13.5" customHeight="1" thickBot="1">
      <c r="A58" s="14"/>
      <c r="B58" s="15"/>
      <c r="C58" s="15" t="s">
        <v>122</v>
      </c>
      <c r="D58" s="15" t="s">
        <v>123</v>
      </c>
      <c r="E58" s="15"/>
      <c r="F58" s="16"/>
      <c r="G58" s="17"/>
      <c r="H58" s="17">
        <f>H59</f>
        <v>907.12</v>
      </c>
    </row>
    <row r="59" spans="1:8" s="6" customFormat="1" ht="24" customHeight="1" thickBot="1">
      <c r="A59" s="29">
        <v>40</v>
      </c>
      <c r="B59" s="30" t="s">
        <v>43</v>
      </c>
      <c r="C59" s="30" t="s">
        <v>124</v>
      </c>
      <c r="D59" s="30" t="s">
        <v>125</v>
      </c>
      <c r="E59" s="30" t="s">
        <v>52</v>
      </c>
      <c r="F59" s="31">
        <v>7.888</v>
      </c>
      <c r="G59" s="32">
        <v>115</v>
      </c>
      <c r="H59" s="33">
        <f>F59*G59</f>
        <v>907.12</v>
      </c>
    </row>
    <row r="60" spans="1:8" s="6" customFormat="1" ht="21" customHeight="1">
      <c r="A60" s="14"/>
      <c r="B60" s="15"/>
      <c r="C60" s="15" t="s">
        <v>126</v>
      </c>
      <c r="D60" s="15" t="s">
        <v>127</v>
      </c>
      <c r="E60" s="15"/>
      <c r="F60" s="16"/>
      <c r="G60" s="17"/>
      <c r="H60" s="17">
        <f>H61</f>
        <v>1344</v>
      </c>
    </row>
    <row r="61" spans="1:8" s="6" customFormat="1" ht="21" customHeight="1" thickBot="1">
      <c r="A61" s="14"/>
      <c r="B61" s="15"/>
      <c r="C61" s="15" t="s">
        <v>128</v>
      </c>
      <c r="D61" s="15" t="s">
        <v>129</v>
      </c>
      <c r="E61" s="15"/>
      <c r="F61" s="16"/>
      <c r="G61" s="17"/>
      <c r="H61" s="17">
        <f>H62</f>
        <v>1344</v>
      </c>
    </row>
    <row r="62" spans="1:8" s="6" customFormat="1" ht="13.5" customHeight="1" thickBot="1">
      <c r="A62" s="29">
        <v>41</v>
      </c>
      <c r="B62" s="30" t="s">
        <v>128</v>
      </c>
      <c r="C62" s="30" t="s">
        <v>130</v>
      </c>
      <c r="D62" s="30" t="s">
        <v>131</v>
      </c>
      <c r="E62" s="30" t="s">
        <v>27</v>
      </c>
      <c r="F62" s="31">
        <v>42</v>
      </c>
      <c r="G62" s="32">
        <v>32</v>
      </c>
      <c r="H62" s="33">
        <f>F62*G62</f>
        <v>1344</v>
      </c>
    </row>
    <row r="63" spans="1:8" s="6" customFormat="1" ht="21" customHeight="1">
      <c r="A63" s="56"/>
      <c r="B63" s="57"/>
      <c r="C63" s="57"/>
      <c r="D63" s="57" t="s">
        <v>132</v>
      </c>
      <c r="E63" s="57"/>
      <c r="F63" s="58"/>
      <c r="G63" s="59"/>
      <c r="H63" s="59">
        <f>H10+H60</f>
        <v>120830.54999999999</v>
      </c>
    </row>
    <row r="65" spans="7:8" ht="12" customHeight="1">
      <c r="G65" s="5" t="s">
        <v>191</v>
      </c>
      <c r="H65" s="5">
        <f>H63/F62</f>
        <v>2876.917857142857</v>
      </c>
    </row>
    <row r="67" spans="3:8" ht="12" customHeight="1">
      <c r="C67" s="237" t="s">
        <v>255</v>
      </c>
      <c r="D67" s="372" t="s">
        <v>260</v>
      </c>
      <c r="E67" s="374"/>
      <c r="F67" s="374"/>
      <c r="G67" s="374"/>
      <c r="H67" s="374"/>
    </row>
    <row r="68" spans="3:8" ht="12" customHeight="1">
      <c r="C68" s="237"/>
      <c r="D68" s="372" t="s">
        <v>261</v>
      </c>
      <c r="E68" s="373"/>
      <c r="F68" s="373"/>
      <c r="G68" s="373"/>
      <c r="H68" s="373"/>
    </row>
    <row r="69" spans="3:8" ht="12" customHeight="1">
      <c r="C69" s="237"/>
      <c r="D69" s="372" t="s">
        <v>262</v>
      </c>
      <c r="E69" s="373"/>
      <c r="F69" s="373"/>
      <c r="G69" s="373"/>
      <c r="H69" s="373"/>
    </row>
    <row r="70" spans="3:8" ht="12" customHeight="1">
      <c r="C70" s="237"/>
      <c r="D70" s="372" t="s">
        <v>263</v>
      </c>
      <c r="E70" s="373"/>
      <c r="F70" s="373"/>
      <c r="G70" s="373"/>
      <c r="H70" s="373"/>
    </row>
    <row r="71" spans="4:8" ht="12" customHeight="1">
      <c r="D71" s="372" t="s">
        <v>264</v>
      </c>
      <c r="E71" s="373"/>
      <c r="F71" s="373"/>
      <c r="G71" s="373"/>
      <c r="H71" s="373"/>
    </row>
    <row r="72" spans="4:8" ht="12" customHeight="1">
      <c r="D72" s="372" t="s">
        <v>265</v>
      </c>
      <c r="E72" s="373"/>
      <c r="F72" s="373"/>
      <c r="G72" s="373"/>
      <c r="H72" s="373"/>
    </row>
    <row r="73" spans="4:8" ht="12" customHeight="1">
      <c r="D73" s="372" t="s">
        <v>270</v>
      </c>
      <c r="E73" s="373"/>
      <c r="F73" s="373"/>
      <c r="G73" s="373"/>
      <c r="H73" s="373"/>
    </row>
    <row r="74" spans="4:8" ht="12" customHeight="1">
      <c r="D74" s="372"/>
      <c r="E74" s="373"/>
      <c r="F74" s="373"/>
      <c r="G74" s="373"/>
      <c r="H74" s="373"/>
    </row>
  </sheetData>
  <sheetProtection/>
  <mergeCells count="8">
    <mergeCell ref="D73:H73"/>
    <mergeCell ref="D74:H74"/>
    <mergeCell ref="D67:H67"/>
    <mergeCell ref="D68:H68"/>
    <mergeCell ref="D69:H69"/>
    <mergeCell ref="D70:H70"/>
    <mergeCell ref="D71:H71"/>
    <mergeCell ref="D72:H72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G22" sqref="G22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1.66015625" style="3" customWidth="1"/>
    <col min="4" max="4" width="50" style="3" customWidth="1"/>
    <col min="5" max="5" width="4.33203125" style="3" customWidth="1"/>
    <col min="6" max="6" width="15.33203125" style="4" customWidth="1"/>
    <col min="7" max="7" width="15.66015625" style="5" customWidth="1"/>
    <col min="8" max="8" width="19.16015625" style="5" customWidth="1"/>
    <col min="9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9"/>
      <c r="G1" s="8"/>
      <c r="H1" s="8"/>
    </row>
    <row r="2" spans="1:8" s="6" customFormat="1" ht="12.75" customHeight="1">
      <c r="A2" s="10" t="s">
        <v>148</v>
      </c>
      <c r="B2" s="11"/>
      <c r="C2" s="11"/>
      <c r="D2" s="11"/>
      <c r="E2" s="11"/>
      <c r="F2" s="9"/>
      <c r="G2" s="8"/>
      <c r="H2" s="8"/>
    </row>
    <row r="3" spans="1:8" s="6" customFormat="1" ht="12.75" customHeight="1">
      <c r="A3" s="10" t="s">
        <v>2</v>
      </c>
      <c r="B3" s="11"/>
      <c r="C3" s="11"/>
      <c r="D3" s="11"/>
      <c r="E3" s="11"/>
      <c r="F3" s="9"/>
      <c r="G3" s="8"/>
      <c r="H3" s="8"/>
    </row>
    <row r="4" spans="1:8" s="6" customFormat="1" ht="12.75" customHeight="1">
      <c r="A4" s="10"/>
      <c r="B4" s="11"/>
      <c r="C4" s="10"/>
      <c r="D4" s="11"/>
      <c r="E4" s="11"/>
      <c r="F4" s="9"/>
      <c r="G4" s="8"/>
      <c r="H4" s="8"/>
    </row>
    <row r="5" spans="1:8" s="6" customFormat="1" ht="12.75" customHeight="1">
      <c r="A5" s="11" t="s">
        <v>3</v>
      </c>
      <c r="B5" s="11"/>
      <c r="C5" s="11"/>
      <c r="D5" s="11"/>
      <c r="E5" s="11"/>
      <c r="F5" s="9"/>
      <c r="G5" s="8"/>
      <c r="H5" s="11" t="s">
        <v>4</v>
      </c>
    </row>
    <row r="6" spans="1:8" s="6" customFormat="1" ht="6" customHeight="1" thickBot="1">
      <c r="A6" s="8"/>
      <c r="B6" s="8"/>
      <c r="C6" s="8"/>
      <c r="D6" s="8"/>
      <c r="E6" s="8"/>
      <c r="F6" s="9"/>
      <c r="G6" s="8"/>
      <c r="H6" s="8"/>
    </row>
    <row r="7" spans="1:8" s="6" customFormat="1" ht="24" customHeight="1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2" t="s">
        <v>11</v>
      </c>
      <c r="H7" s="12" t="s">
        <v>12</v>
      </c>
    </row>
    <row r="8" spans="1:8" s="6" customFormat="1" ht="12.75" customHeight="1" thickBot="1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18</v>
      </c>
      <c r="G8" s="12" t="s">
        <v>19</v>
      </c>
      <c r="H8" s="12" t="s">
        <v>20</v>
      </c>
    </row>
    <row r="9" spans="1:8" s="6" customFormat="1" ht="4.5" customHeight="1">
      <c r="A9" s="8"/>
      <c r="B9" s="8"/>
      <c r="C9" s="8"/>
      <c r="D9" s="8"/>
      <c r="E9" s="8"/>
      <c r="F9" s="9"/>
      <c r="G9" s="8"/>
      <c r="H9" s="8"/>
    </row>
    <row r="10" spans="1:8" s="6" customFormat="1" ht="21" customHeight="1">
      <c r="A10" s="14"/>
      <c r="B10" s="15"/>
      <c r="C10" s="15" t="s">
        <v>21</v>
      </c>
      <c r="D10" s="15" t="s">
        <v>22</v>
      </c>
      <c r="E10" s="15"/>
      <c r="F10" s="16"/>
      <c r="G10" s="17"/>
      <c r="H10" s="17">
        <f>H11+H20+H24</f>
        <v>155088.1</v>
      </c>
    </row>
    <row r="11" spans="1:8" s="6" customFormat="1" ht="21" customHeight="1" thickBot="1">
      <c r="A11" s="14"/>
      <c r="B11" s="15"/>
      <c r="C11" s="15" t="s">
        <v>13</v>
      </c>
      <c r="D11" s="15" t="s">
        <v>23</v>
      </c>
      <c r="E11" s="15"/>
      <c r="F11" s="16"/>
      <c r="G11" s="17"/>
      <c r="H11" s="17">
        <f>SUM(H12:H19)</f>
        <v>10221.480000000001</v>
      </c>
    </row>
    <row r="12" spans="1:8" s="6" customFormat="1" ht="13.5" customHeight="1" thickBot="1">
      <c r="A12" s="29">
        <v>1</v>
      </c>
      <c r="B12" s="30" t="s">
        <v>24</v>
      </c>
      <c r="C12" s="30" t="s">
        <v>147</v>
      </c>
      <c r="D12" s="30" t="s">
        <v>146</v>
      </c>
      <c r="E12" s="30" t="s">
        <v>30</v>
      </c>
      <c r="F12" s="31">
        <v>42.84</v>
      </c>
      <c r="G12" s="32">
        <v>135</v>
      </c>
      <c r="H12" s="33">
        <f>F12*G12</f>
        <v>5783.400000000001</v>
      </c>
    </row>
    <row r="13" spans="1:8" s="6" customFormat="1" ht="13.5" customHeight="1" thickBot="1">
      <c r="A13" s="79"/>
      <c r="B13" s="78"/>
      <c r="C13" s="78"/>
      <c r="D13" s="78" t="s">
        <v>145</v>
      </c>
      <c r="E13" s="78"/>
      <c r="F13" s="77">
        <v>42.84</v>
      </c>
      <c r="G13" s="76"/>
      <c r="H13" s="75"/>
    </row>
    <row r="14" spans="1:8" s="6" customFormat="1" ht="13.5" customHeight="1" thickBot="1">
      <c r="A14" s="29">
        <v>2</v>
      </c>
      <c r="B14" s="30" t="s">
        <v>24</v>
      </c>
      <c r="C14" s="30" t="s">
        <v>144</v>
      </c>
      <c r="D14" s="30" t="s">
        <v>143</v>
      </c>
      <c r="E14" s="30" t="s">
        <v>33</v>
      </c>
      <c r="F14" s="31">
        <v>45.6</v>
      </c>
      <c r="G14" s="32">
        <v>25</v>
      </c>
      <c r="H14" s="33">
        <f>F14*G14</f>
        <v>1140</v>
      </c>
    </row>
    <row r="15" spans="1:8" s="6" customFormat="1" ht="13.5" customHeight="1" thickBot="1">
      <c r="A15" s="79"/>
      <c r="B15" s="78"/>
      <c r="C15" s="78"/>
      <c r="D15" s="78" t="s">
        <v>142</v>
      </c>
      <c r="E15" s="78"/>
      <c r="F15" s="77">
        <v>45.6</v>
      </c>
      <c r="G15" s="76"/>
      <c r="H15" s="75"/>
    </row>
    <row r="16" spans="1:8" s="6" customFormat="1" ht="13.5" customHeight="1">
      <c r="A16" s="18">
        <v>3</v>
      </c>
      <c r="B16" s="19" t="s">
        <v>24</v>
      </c>
      <c r="C16" s="19" t="s">
        <v>141</v>
      </c>
      <c r="D16" s="19" t="s">
        <v>140</v>
      </c>
      <c r="E16" s="19" t="s">
        <v>33</v>
      </c>
      <c r="F16" s="20">
        <v>45.6</v>
      </c>
      <c r="G16" s="21">
        <v>8</v>
      </c>
      <c r="H16" s="73">
        <f>F16*G16</f>
        <v>364.8</v>
      </c>
    </row>
    <row r="17" spans="1:8" s="6" customFormat="1" ht="24" customHeight="1">
      <c r="A17" s="81">
        <v>4</v>
      </c>
      <c r="B17" s="22" t="s">
        <v>24</v>
      </c>
      <c r="C17" s="22" t="s">
        <v>139</v>
      </c>
      <c r="D17" s="22" t="s">
        <v>138</v>
      </c>
      <c r="E17" s="22" t="s">
        <v>30</v>
      </c>
      <c r="F17" s="23">
        <v>42.84</v>
      </c>
      <c r="G17" s="24">
        <v>42</v>
      </c>
      <c r="H17" s="80">
        <f>F17*G17</f>
        <v>1799.2800000000002</v>
      </c>
    </row>
    <row r="18" spans="1:8" s="6" customFormat="1" ht="24" customHeight="1" thickBot="1">
      <c r="A18" s="25">
        <v>5</v>
      </c>
      <c r="B18" s="26" t="s">
        <v>24</v>
      </c>
      <c r="C18" s="26" t="s">
        <v>137</v>
      </c>
      <c r="D18" s="26" t="s">
        <v>136</v>
      </c>
      <c r="E18" s="26" t="s">
        <v>30</v>
      </c>
      <c r="F18" s="27">
        <v>12.6</v>
      </c>
      <c r="G18" s="28">
        <v>90</v>
      </c>
      <c r="H18" s="72">
        <f>F18*G18</f>
        <v>1134</v>
      </c>
    </row>
    <row r="19" spans="1:8" s="6" customFormat="1" ht="13.5" customHeight="1" thickBot="1">
      <c r="A19" s="79"/>
      <c r="B19" s="78"/>
      <c r="C19" s="78"/>
      <c r="D19" s="78" t="s">
        <v>135</v>
      </c>
      <c r="E19" s="78"/>
      <c r="F19" s="77">
        <v>12.6</v>
      </c>
      <c r="G19" s="76"/>
      <c r="H19" s="75"/>
    </row>
    <row r="20" spans="1:8" s="6" customFormat="1" ht="21" customHeight="1" thickBot="1">
      <c r="A20" s="14"/>
      <c r="B20" s="15"/>
      <c r="C20" s="15" t="s">
        <v>20</v>
      </c>
      <c r="D20" s="15" t="s">
        <v>56</v>
      </c>
      <c r="E20" s="15"/>
      <c r="F20" s="16"/>
      <c r="G20" s="17"/>
      <c r="H20" s="17">
        <f>SUM(H21:H23)</f>
        <v>143613</v>
      </c>
    </row>
    <row r="21" spans="1:8" s="6" customFormat="1" ht="13.5" customHeight="1">
      <c r="A21" s="18">
        <v>6</v>
      </c>
      <c r="B21" s="19" t="s">
        <v>43</v>
      </c>
      <c r="C21" s="19" t="s">
        <v>134</v>
      </c>
      <c r="D21" s="74" t="s">
        <v>133</v>
      </c>
      <c r="E21" s="19" t="s">
        <v>55</v>
      </c>
      <c r="F21" s="20">
        <v>1</v>
      </c>
      <c r="G21" s="108">
        <f>127500*1.08+5122</f>
        <v>142822</v>
      </c>
      <c r="H21" s="73">
        <f>F21*G21</f>
        <v>142822</v>
      </c>
    </row>
    <row r="22" spans="1:8" s="6" customFormat="1" ht="13.5" customHeight="1" thickBot="1">
      <c r="A22" s="25">
        <v>7</v>
      </c>
      <c r="B22" s="26" t="s">
        <v>43</v>
      </c>
      <c r="C22" s="26" t="s">
        <v>112</v>
      </c>
      <c r="D22" s="26" t="s">
        <v>113</v>
      </c>
      <c r="E22" s="26" t="s">
        <v>55</v>
      </c>
      <c r="F22" s="27">
        <v>1</v>
      </c>
      <c r="G22" s="28">
        <v>125</v>
      </c>
      <c r="H22" s="72">
        <f>F22*G22</f>
        <v>125</v>
      </c>
    </row>
    <row r="23" spans="1:8" s="6" customFormat="1" ht="13.5" customHeight="1" thickBot="1">
      <c r="A23" s="34">
        <v>8</v>
      </c>
      <c r="B23" s="35" t="s">
        <v>87</v>
      </c>
      <c r="C23" s="35" t="s">
        <v>114</v>
      </c>
      <c r="D23" s="35" t="s">
        <v>115</v>
      </c>
      <c r="E23" s="35" t="s">
        <v>55</v>
      </c>
      <c r="F23" s="36">
        <v>1</v>
      </c>
      <c r="G23" s="37">
        <v>666</v>
      </c>
      <c r="H23" s="38">
        <f>F23*G23</f>
        <v>666</v>
      </c>
    </row>
    <row r="24" spans="1:8" s="6" customFormat="1" ht="21" customHeight="1">
      <c r="A24" s="14"/>
      <c r="B24" s="15"/>
      <c r="C24" s="15" t="s">
        <v>120</v>
      </c>
      <c r="D24" s="15" t="s">
        <v>121</v>
      </c>
      <c r="E24" s="15"/>
      <c r="F24" s="16"/>
      <c r="G24" s="17"/>
      <c r="H24" s="17">
        <f>H25</f>
        <v>1253.62</v>
      </c>
    </row>
    <row r="25" spans="1:8" s="6" customFormat="1" ht="13.5" customHeight="1" thickBot="1">
      <c r="A25" s="14"/>
      <c r="B25" s="15"/>
      <c r="C25" s="15" t="s">
        <v>122</v>
      </c>
      <c r="D25" s="15" t="s">
        <v>123</v>
      </c>
      <c r="E25" s="15"/>
      <c r="F25" s="16"/>
      <c r="G25" s="17"/>
      <c r="H25" s="17">
        <f>H26</f>
        <v>1253.62</v>
      </c>
    </row>
    <row r="26" spans="1:8" s="6" customFormat="1" ht="24" customHeight="1" thickBot="1">
      <c r="A26" s="29">
        <v>9</v>
      </c>
      <c r="B26" s="30" t="s">
        <v>43</v>
      </c>
      <c r="C26" s="30" t="s">
        <v>124</v>
      </c>
      <c r="D26" s="30" t="s">
        <v>125</v>
      </c>
      <c r="E26" s="30" t="s">
        <v>52</v>
      </c>
      <c r="F26" s="31">
        <v>13.196</v>
      </c>
      <c r="G26" s="32">
        <v>95</v>
      </c>
      <c r="H26" s="33">
        <f>F26*G26</f>
        <v>1253.62</v>
      </c>
    </row>
    <row r="27" spans="1:8" s="6" customFormat="1" ht="21" customHeight="1">
      <c r="A27" s="56"/>
      <c r="B27" s="57"/>
      <c r="C27" s="57"/>
      <c r="D27" s="57" t="s">
        <v>132</v>
      </c>
      <c r="E27" s="57"/>
      <c r="F27" s="58"/>
      <c r="G27" s="59"/>
      <c r="H27" s="59">
        <f>H10</f>
        <v>155088.1</v>
      </c>
    </row>
    <row r="29" spans="3:8" ht="12" customHeight="1">
      <c r="C29" s="237" t="s">
        <v>255</v>
      </c>
      <c r="D29" s="372" t="s">
        <v>256</v>
      </c>
      <c r="E29" s="374"/>
      <c r="F29" s="374"/>
      <c r="G29" s="374"/>
      <c r="H29" s="374"/>
    </row>
    <row r="30" spans="3:8" ht="12" customHeight="1">
      <c r="C30" s="237"/>
      <c r="D30" s="237" t="s">
        <v>257</v>
      </c>
      <c r="E30" s="237"/>
      <c r="F30" s="238"/>
      <c r="G30" s="239"/>
      <c r="H30" s="239"/>
    </row>
    <row r="31" spans="3:8" ht="12" customHeight="1">
      <c r="C31" s="237"/>
      <c r="D31" s="372" t="s">
        <v>267</v>
      </c>
      <c r="E31" s="373"/>
      <c r="F31" s="373"/>
      <c r="G31" s="373"/>
      <c r="H31" s="373"/>
    </row>
    <row r="32" spans="3:8" ht="12" customHeight="1">
      <c r="C32" s="237"/>
      <c r="D32" s="237" t="s">
        <v>258</v>
      </c>
      <c r="E32" s="237"/>
      <c r="F32" s="238"/>
      <c r="G32" s="239"/>
      <c r="H32" s="239"/>
    </row>
    <row r="33" spans="3:8" ht="12" customHeight="1">
      <c r="C33" s="237"/>
      <c r="D33" s="237"/>
      <c r="E33" s="237"/>
      <c r="F33" s="238"/>
      <c r="G33" s="239"/>
      <c r="H33" s="239"/>
    </row>
  </sheetData>
  <sheetProtection/>
  <mergeCells count="2">
    <mergeCell ref="D29:H29"/>
    <mergeCell ref="D31:H31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">
      <pane ySplit="9" topLeftCell="A14" activePane="bottomLeft" state="frozen"/>
      <selection pane="topLeft" activeCell="A1" sqref="A1"/>
      <selection pane="bottomLeft" activeCell="G26" sqref="G26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1.66015625" style="3" customWidth="1"/>
    <col min="4" max="4" width="50" style="3" customWidth="1"/>
    <col min="5" max="5" width="4.33203125" style="3" customWidth="1"/>
    <col min="6" max="6" width="15.33203125" style="4" customWidth="1"/>
    <col min="7" max="7" width="15.66015625" style="5" customWidth="1"/>
    <col min="8" max="8" width="19.16015625" style="5" customWidth="1"/>
    <col min="9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9"/>
      <c r="G1" s="8"/>
      <c r="H1" s="8"/>
    </row>
    <row r="2" spans="1:8" s="6" customFormat="1" ht="12.75" customHeight="1">
      <c r="A2" s="10" t="s">
        <v>190</v>
      </c>
      <c r="B2" s="11"/>
      <c r="C2" s="11"/>
      <c r="D2" s="11"/>
      <c r="E2" s="11"/>
      <c r="F2" s="9"/>
      <c r="G2" s="8"/>
      <c r="H2" s="8"/>
    </row>
    <row r="3" spans="1:8" s="6" customFormat="1" ht="12.75" customHeight="1">
      <c r="A3" s="10" t="s">
        <v>2</v>
      </c>
      <c r="B3" s="11"/>
      <c r="C3" s="11"/>
      <c r="D3" s="11"/>
      <c r="E3" s="11"/>
      <c r="F3" s="9"/>
      <c r="G3" s="8"/>
      <c r="H3" s="8"/>
    </row>
    <row r="4" spans="1:8" s="6" customFormat="1" ht="12.75" customHeight="1">
      <c r="A4" s="10"/>
      <c r="B4" s="11"/>
      <c r="C4" s="10"/>
      <c r="D4" s="11"/>
      <c r="E4" s="11"/>
      <c r="F4" s="9"/>
      <c r="G4" s="8"/>
      <c r="H4" s="8"/>
    </row>
    <row r="5" spans="1:8" s="6" customFormat="1" ht="12.75" customHeight="1">
      <c r="A5" s="11" t="s">
        <v>3</v>
      </c>
      <c r="B5" s="11"/>
      <c r="C5" s="11"/>
      <c r="D5" s="11"/>
      <c r="E5" s="11"/>
      <c r="F5" s="9"/>
      <c r="G5" s="8"/>
      <c r="H5" s="11" t="s">
        <v>189</v>
      </c>
    </row>
    <row r="6" spans="1:8" s="6" customFormat="1" ht="6" customHeight="1" thickBot="1">
      <c r="A6" s="8"/>
      <c r="B6" s="8"/>
      <c r="C6" s="8"/>
      <c r="D6" s="8"/>
      <c r="E6" s="8"/>
      <c r="F6" s="9"/>
      <c r="G6" s="8"/>
      <c r="H6" s="8"/>
    </row>
    <row r="7" spans="1:8" s="6" customFormat="1" ht="24" customHeight="1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2" t="s">
        <v>11</v>
      </c>
      <c r="H7" s="12" t="s">
        <v>12</v>
      </c>
    </row>
    <row r="8" spans="1:8" s="6" customFormat="1" ht="12.75" customHeight="1" thickBot="1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18</v>
      </c>
      <c r="G8" s="12" t="s">
        <v>19</v>
      </c>
      <c r="H8" s="12" t="s">
        <v>20</v>
      </c>
    </row>
    <row r="9" spans="1:8" s="6" customFormat="1" ht="4.5" customHeight="1">
      <c r="A9" s="8"/>
      <c r="B9" s="8"/>
      <c r="C9" s="8"/>
      <c r="D9" s="8"/>
      <c r="E9" s="8"/>
      <c r="F9" s="9"/>
      <c r="G9" s="8"/>
      <c r="H9" s="8"/>
    </row>
    <row r="10" spans="1:8" s="6" customFormat="1" ht="21" customHeight="1">
      <c r="A10" s="14"/>
      <c r="B10" s="15"/>
      <c r="C10" s="15" t="s">
        <v>21</v>
      </c>
      <c r="D10" s="15" t="s">
        <v>22</v>
      </c>
      <c r="E10" s="15"/>
      <c r="F10" s="16"/>
      <c r="G10" s="17"/>
      <c r="H10" s="17">
        <f>H11+H22+H24+H36</f>
        <v>510967.24500000005</v>
      </c>
    </row>
    <row r="11" spans="1:8" s="6" customFormat="1" ht="21" customHeight="1" thickBot="1">
      <c r="A11" s="14"/>
      <c r="B11" s="15"/>
      <c r="C11" s="15" t="s">
        <v>13</v>
      </c>
      <c r="D11" s="15" t="s">
        <v>23</v>
      </c>
      <c r="E11" s="15"/>
      <c r="F11" s="16"/>
      <c r="G11" s="17"/>
      <c r="H11" s="17">
        <f>SUM(H12:H21)</f>
        <v>59904.635</v>
      </c>
    </row>
    <row r="12" spans="1:8" s="6" customFormat="1" ht="13.5" customHeight="1">
      <c r="A12" s="18">
        <v>1</v>
      </c>
      <c r="B12" s="19" t="s">
        <v>24</v>
      </c>
      <c r="C12" s="19" t="s">
        <v>188</v>
      </c>
      <c r="D12" s="19" t="s">
        <v>187</v>
      </c>
      <c r="E12" s="19" t="s">
        <v>55</v>
      </c>
      <c r="F12" s="20">
        <v>59</v>
      </c>
      <c r="G12" s="21">
        <v>211</v>
      </c>
      <c r="H12" s="73">
        <f>F12*G12</f>
        <v>12449</v>
      </c>
    </row>
    <row r="13" spans="1:8" s="6" customFormat="1" ht="13.5" customHeight="1">
      <c r="A13" s="81">
        <v>2</v>
      </c>
      <c r="B13" s="22" t="s">
        <v>24</v>
      </c>
      <c r="C13" s="22" t="s">
        <v>186</v>
      </c>
      <c r="D13" s="22" t="s">
        <v>185</v>
      </c>
      <c r="E13" s="22" t="s">
        <v>55</v>
      </c>
      <c r="F13" s="23">
        <v>2</v>
      </c>
      <c r="G13" s="24">
        <v>520</v>
      </c>
      <c r="H13" s="80">
        <f>F13*G13</f>
        <v>1040</v>
      </c>
    </row>
    <row r="14" spans="1:8" s="6" customFormat="1" ht="24" customHeight="1">
      <c r="A14" s="81">
        <v>3</v>
      </c>
      <c r="B14" s="22" t="s">
        <v>24</v>
      </c>
      <c r="C14" s="22" t="s">
        <v>184</v>
      </c>
      <c r="D14" s="22" t="s">
        <v>183</v>
      </c>
      <c r="E14" s="22" t="s">
        <v>30</v>
      </c>
      <c r="F14" s="23">
        <v>293.64</v>
      </c>
      <c r="G14" s="24">
        <v>88.5</v>
      </c>
      <c r="H14" s="80">
        <f>F14*G14</f>
        <v>25987.14</v>
      </c>
    </row>
    <row r="15" spans="1:8" s="6" customFormat="1" ht="13.5" customHeight="1">
      <c r="A15" s="81">
        <v>4</v>
      </c>
      <c r="B15" s="22" t="s">
        <v>24</v>
      </c>
      <c r="C15" s="22" t="s">
        <v>182</v>
      </c>
      <c r="D15" s="22" t="s">
        <v>181</v>
      </c>
      <c r="E15" s="22" t="s">
        <v>30</v>
      </c>
      <c r="F15" s="23">
        <v>30.525</v>
      </c>
      <c r="G15" s="24">
        <v>195</v>
      </c>
      <c r="H15" s="80">
        <f aca="true" t="shared" si="0" ref="H15:H21">F15*G15</f>
        <v>5952.375</v>
      </c>
    </row>
    <row r="16" spans="1:8" s="6" customFormat="1" ht="24" customHeight="1">
      <c r="A16" s="81">
        <v>5</v>
      </c>
      <c r="B16" s="22" t="s">
        <v>24</v>
      </c>
      <c r="C16" s="22" t="s">
        <v>180</v>
      </c>
      <c r="D16" s="22" t="s">
        <v>179</v>
      </c>
      <c r="E16" s="22" t="s">
        <v>30</v>
      </c>
      <c r="F16" s="23">
        <v>30.525</v>
      </c>
      <c r="G16" s="24">
        <v>167</v>
      </c>
      <c r="H16" s="80">
        <f t="shared" si="0"/>
        <v>5097.675</v>
      </c>
    </row>
    <row r="17" spans="1:8" s="6" customFormat="1" ht="13.5" customHeight="1">
      <c r="A17" s="81">
        <v>6</v>
      </c>
      <c r="B17" s="22" t="s">
        <v>24</v>
      </c>
      <c r="C17" s="22" t="s">
        <v>178</v>
      </c>
      <c r="D17" s="22" t="s">
        <v>177</v>
      </c>
      <c r="E17" s="22" t="s">
        <v>30</v>
      </c>
      <c r="F17" s="23">
        <v>30.525</v>
      </c>
      <c r="G17" s="24">
        <v>45</v>
      </c>
      <c r="H17" s="80">
        <f t="shared" si="0"/>
        <v>1373.625</v>
      </c>
    </row>
    <row r="18" spans="1:8" s="6" customFormat="1" ht="13.5" customHeight="1">
      <c r="A18" s="81">
        <v>7</v>
      </c>
      <c r="B18" s="22" t="s">
        <v>24</v>
      </c>
      <c r="C18" s="22" t="s">
        <v>176</v>
      </c>
      <c r="D18" s="22" t="s">
        <v>175</v>
      </c>
      <c r="E18" s="22" t="s">
        <v>30</v>
      </c>
      <c r="F18" s="23">
        <v>30.525</v>
      </c>
      <c r="G18" s="24">
        <v>11</v>
      </c>
      <c r="H18" s="80">
        <f t="shared" si="0"/>
        <v>335.775</v>
      </c>
    </row>
    <row r="19" spans="1:8" s="6" customFormat="1" ht="24" customHeight="1">
      <c r="A19" s="81">
        <v>8</v>
      </c>
      <c r="B19" s="22" t="s">
        <v>24</v>
      </c>
      <c r="C19" s="22" t="s">
        <v>174</v>
      </c>
      <c r="D19" s="22" t="s">
        <v>173</v>
      </c>
      <c r="E19" s="22" t="s">
        <v>52</v>
      </c>
      <c r="F19" s="23">
        <v>51.893</v>
      </c>
      <c r="G19" s="24">
        <v>65</v>
      </c>
      <c r="H19" s="80">
        <f t="shared" si="0"/>
        <v>3373.045</v>
      </c>
    </row>
    <row r="20" spans="1:8" s="6" customFormat="1" ht="13.5" customHeight="1">
      <c r="A20" s="81">
        <v>9</v>
      </c>
      <c r="B20" s="22" t="s">
        <v>24</v>
      </c>
      <c r="C20" s="22" t="s">
        <v>172</v>
      </c>
      <c r="D20" s="22" t="s">
        <v>171</v>
      </c>
      <c r="E20" s="22" t="s">
        <v>55</v>
      </c>
      <c r="F20" s="23">
        <v>59</v>
      </c>
      <c r="G20" s="24">
        <v>68</v>
      </c>
      <c r="H20" s="80">
        <f t="shared" si="0"/>
        <v>4012</v>
      </c>
    </row>
    <row r="21" spans="1:8" s="6" customFormat="1" ht="13.5" customHeight="1" thickBot="1">
      <c r="A21" s="25">
        <v>10</v>
      </c>
      <c r="B21" s="26" t="s">
        <v>24</v>
      </c>
      <c r="C21" s="26" t="s">
        <v>170</v>
      </c>
      <c r="D21" s="26" t="s">
        <v>169</v>
      </c>
      <c r="E21" s="26" t="s">
        <v>55</v>
      </c>
      <c r="F21" s="27">
        <v>2</v>
      </c>
      <c r="G21" s="28">
        <v>142</v>
      </c>
      <c r="H21" s="72">
        <f t="shared" si="0"/>
        <v>284</v>
      </c>
    </row>
    <row r="22" spans="1:8" s="6" customFormat="1" ht="21" customHeight="1" thickBot="1">
      <c r="A22" s="14"/>
      <c r="B22" s="15"/>
      <c r="C22" s="15" t="s">
        <v>14</v>
      </c>
      <c r="D22" s="15" t="s">
        <v>168</v>
      </c>
      <c r="E22" s="15"/>
      <c r="F22" s="16"/>
      <c r="G22" s="17"/>
      <c r="H22" s="17">
        <f>H23</f>
        <v>12783.87</v>
      </c>
    </row>
    <row r="23" spans="1:8" s="6" customFormat="1" ht="24" customHeight="1" thickBot="1">
      <c r="A23" s="29">
        <v>11</v>
      </c>
      <c r="B23" s="30" t="s">
        <v>167</v>
      </c>
      <c r="C23" s="30" t="s">
        <v>166</v>
      </c>
      <c r="D23" s="30" t="s">
        <v>165</v>
      </c>
      <c r="E23" s="30" t="s">
        <v>30</v>
      </c>
      <c r="F23" s="31">
        <v>18.315</v>
      </c>
      <c r="G23" s="32">
        <v>698</v>
      </c>
      <c r="H23" s="33">
        <f>F23*G23</f>
        <v>12783.87</v>
      </c>
    </row>
    <row r="24" spans="1:8" s="6" customFormat="1" ht="21" customHeight="1" thickBot="1">
      <c r="A24" s="14"/>
      <c r="B24" s="15"/>
      <c r="C24" s="15" t="s">
        <v>15</v>
      </c>
      <c r="D24" s="15" t="s">
        <v>164</v>
      </c>
      <c r="E24" s="15"/>
      <c r="F24" s="16"/>
      <c r="G24" s="17"/>
      <c r="H24" s="17">
        <f>H25</f>
        <v>428695.66500000004</v>
      </c>
    </row>
    <row r="25" spans="1:8" s="6" customFormat="1" ht="24" customHeight="1" thickBot="1">
      <c r="A25" s="29">
        <v>12</v>
      </c>
      <c r="B25" s="30" t="s">
        <v>163</v>
      </c>
      <c r="C25" s="30" t="s">
        <v>162</v>
      </c>
      <c r="D25" s="30" t="s">
        <v>161</v>
      </c>
      <c r="E25" s="30" t="s">
        <v>30</v>
      </c>
      <c r="F25" s="31">
        <v>158.835</v>
      </c>
      <c r="G25" s="32">
        <v>2699</v>
      </c>
      <c r="H25" s="33">
        <f>F25*G25</f>
        <v>428695.66500000004</v>
      </c>
    </row>
    <row r="26" spans="1:8" s="6" customFormat="1" ht="13.5" customHeight="1" thickBot="1">
      <c r="A26" s="102"/>
      <c r="B26" s="101"/>
      <c r="C26" s="101"/>
      <c r="D26" s="101" t="s">
        <v>160</v>
      </c>
      <c r="E26" s="101"/>
      <c r="F26" s="100"/>
      <c r="G26" s="99"/>
      <c r="H26" s="98"/>
    </row>
    <row r="27" spans="1:8" s="6" customFormat="1" ht="13.5" customHeight="1">
      <c r="A27" s="97"/>
      <c r="B27" s="96"/>
      <c r="C27" s="96"/>
      <c r="D27" s="96" t="s">
        <v>159</v>
      </c>
      <c r="E27" s="96"/>
      <c r="F27" s="95">
        <v>58.395</v>
      </c>
      <c r="G27" s="94"/>
      <c r="H27" s="93"/>
    </row>
    <row r="28" spans="1:8" s="6" customFormat="1" ht="13.5" customHeight="1">
      <c r="A28" s="107"/>
      <c r="B28" s="106"/>
      <c r="C28" s="106"/>
      <c r="D28" s="106" t="s">
        <v>158</v>
      </c>
      <c r="E28" s="106"/>
      <c r="F28" s="105">
        <v>34.35</v>
      </c>
      <c r="G28" s="104"/>
      <c r="H28" s="103"/>
    </row>
    <row r="29" spans="1:8" s="6" customFormat="1" ht="13.5" customHeight="1" thickBot="1">
      <c r="A29" s="92"/>
      <c r="B29" s="91"/>
      <c r="C29" s="91"/>
      <c r="D29" s="91" t="s">
        <v>157</v>
      </c>
      <c r="E29" s="91"/>
      <c r="F29" s="90">
        <v>10.2</v>
      </c>
      <c r="G29" s="89"/>
      <c r="H29" s="88"/>
    </row>
    <row r="30" spans="1:8" s="6" customFormat="1" ht="13.5" customHeight="1" thickBot="1">
      <c r="A30" s="87"/>
      <c r="B30" s="86"/>
      <c r="C30" s="86"/>
      <c r="D30" s="86" t="s">
        <v>153</v>
      </c>
      <c r="E30" s="86"/>
      <c r="F30" s="85">
        <v>102.945</v>
      </c>
      <c r="G30" s="84"/>
      <c r="H30" s="83"/>
    </row>
    <row r="31" spans="1:8" s="6" customFormat="1" ht="13.5" customHeight="1" thickBot="1">
      <c r="A31" s="102"/>
      <c r="B31" s="101"/>
      <c r="C31" s="101"/>
      <c r="D31" s="101" t="s">
        <v>156</v>
      </c>
      <c r="E31" s="101"/>
      <c r="F31" s="100"/>
      <c r="G31" s="99"/>
      <c r="H31" s="98"/>
    </row>
    <row r="32" spans="1:8" s="6" customFormat="1" ht="13.5" customHeight="1">
      <c r="A32" s="97"/>
      <c r="B32" s="96"/>
      <c r="C32" s="96"/>
      <c r="D32" s="96" t="s">
        <v>155</v>
      </c>
      <c r="E32" s="96"/>
      <c r="F32" s="95">
        <v>35.19</v>
      </c>
      <c r="G32" s="94"/>
      <c r="H32" s="93"/>
    </row>
    <row r="33" spans="1:8" s="6" customFormat="1" ht="13.5" customHeight="1" thickBot="1">
      <c r="A33" s="92"/>
      <c r="B33" s="91"/>
      <c r="C33" s="91"/>
      <c r="D33" s="91" t="s">
        <v>154</v>
      </c>
      <c r="E33" s="91"/>
      <c r="F33" s="90">
        <v>20.7</v>
      </c>
      <c r="G33" s="89"/>
      <c r="H33" s="88"/>
    </row>
    <row r="34" spans="1:8" s="6" customFormat="1" ht="13.5" customHeight="1" thickBot="1">
      <c r="A34" s="87"/>
      <c r="B34" s="86"/>
      <c r="C34" s="86"/>
      <c r="D34" s="86" t="s">
        <v>153</v>
      </c>
      <c r="E34" s="86"/>
      <c r="F34" s="85">
        <v>55.89</v>
      </c>
      <c r="G34" s="84"/>
      <c r="H34" s="83"/>
    </row>
    <row r="35" spans="1:8" s="6" customFormat="1" ht="13.5" customHeight="1" thickBot="1">
      <c r="A35" s="39"/>
      <c r="B35" s="40"/>
      <c r="C35" s="40"/>
      <c r="D35" s="40" t="s">
        <v>152</v>
      </c>
      <c r="E35" s="40"/>
      <c r="F35" s="41">
        <v>158.835</v>
      </c>
      <c r="G35" s="42"/>
      <c r="H35" s="82"/>
    </row>
    <row r="36" spans="1:8" s="6" customFormat="1" ht="21" customHeight="1">
      <c r="A36" s="14"/>
      <c r="B36" s="15"/>
      <c r="C36" s="15" t="s">
        <v>120</v>
      </c>
      <c r="D36" s="15" t="s">
        <v>121</v>
      </c>
      <c r="E36" s="15"/>
      <c r="F36" s="16"/>
      <c r="G36" s="17"/>
      <c r="H36" s="17">
        <f>H37</f>
        <v>9583.074999999999</v>
      </c>
    </row>
    <row r="37" spans="1:8" s="6" customFormat="1" ht="13.5" customHeight="1" thickBot="1">
      <c r="A37" s="14"/>
      <c r="B37" s="15"/>
      <c r="C37" s="15" t="s">
        <v>122</v>
      </c>
      <c r="D37" s="15" t="s">
        <v>123</v>
      </c>
      <c r="E37" s="15"/>
      <c r="F37" s="16"/>
      <c r="G37" s="17"/>
      <c r="H37" s="17">
        <f>H38</f>
        <v>9583.074999999999</v>
      </c>
    </row>
    <row r="38" spans="1:8" s="6" customFormat="1" ht="24" customHeight="1" thickBot="1">
      <c r="A38" s="29">
        <v>13</v>
      </c>
      <c r="B38" s="30" t="s">
        <v>151</v>
      </c>
      <c r="C38" s="30" t="s">
        <v>150</v>
      </c>
      <c r="D38" s="30" t="s">
        <v>149</v>
      </c>
      <c r="E38" s="30" t="s">
        <v>52</v>
      </c>
      <c r="F38" s="31">
        <v>383.323</v>
      </c>
      <c r="G38" s="32">
        <v>25</v>
      </c>
      <c r="H38" s="33">
        <f>F38*G38</f>
        <v>9583.074999999999</v>
      </c>
    </row>
    <row r="39" spans="1:8" s="6" customFormat="1" ht="21" customHeight="1">
      <c r="A39" s="56"/>
      <c r="B39" s="57"/>
      <c r="C39" s="57"/>
      <c r="D39" s="57" t="s">
        <v>132</v>
      </c>
      <c r="E39" s="57"/>
      <c r="F39" s="58"/>
      <c r="G39" s="59"/>
      <c r="H39" s="59">
        <f>H11+H22+H24+H36</f>
        <v>510967.24500000005</v>
      </c>
    </row>
    <row r="41" spans="7:8" ht="12" customHeight="1">
      <c r="G41" s="236" t="s">
        <v>191</v>
      </c>
      <c r="H41" s="5">
        <f>H39/F25</f>
        <v>3216.9688355840967</v>
      </c>
    </row>
    <row r="43" spans="3:8" ht="12" customHeight="1">
      <c r="C43" s="237" t="s">
        <v>255</v>
      </c>
      <c r="D43" s="372" t="s">
        <v>259</v>
      </c>
      <c r="E43" s="374"/>
      <c r="F43" s="374"/>
      <c r="G43" s="374"/>
      <c r="H43" s="374"/>
    </row>
    <row r="44" spans="3:8" ht="12" customHeight="1">
      <c r="C44" s="237"/>
      <c r="D44" s="372" t="s">
        <v>268</v>
      </c>
      <c r="E44" s="374"/>
      <c r="F44" s="374"/>
      <c r="G44" s="374"/>
      <c r="H44" s="374"/>
    </row>
    <row r="45" spans="3:8" ht="12" customHeight="1">
      <c r="C45" s="237"/>
      <c r="D45" s="237" t="s">
        <v>269</v>
      </c>
      <c r="E45" s="237"/>
      <c r="F45" s="238"/>
      <c r="G45" s="239"/>
      <c r="H45" s="239"/>
    </row>
    <row r="46" spans="3:8" ht="12" customHeight="1">
      <c r="C46" s="237"/>
      <c r="E46" s="237"/>
      <c r="F46" s="238"/>
      <c r="G46" s="239"/>
      <c r="H46" s="239"/>
    </row>
    <row r="47" spans="3:8" ht="12" customHeight="1">
      <c r="C47" s="237"/>
      <c r="D47" s="237"/>
      <c r="E47" s="237"/>
      <c r="F47" s="238"/>
      <c r="G47" s="239"/>
      <c r="H47" s="239"/>
    </row>
  </sheetData>
  <sheetProtection/>
  <mergeCells count="2">
    <mergeCell ref="D43:H43"/>
    <mergeCell ref="D44:H44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">
      <selection activeCell="D54" sqref="D54:H54"/>
    </sheetView>
  </sheetViews>
  <sheetFormatPr defaultColWidth="10.5" defaultRowHeight="10.5"/>
  <cols>
    <col min="1" max="1" width="6.66015625" style="2" customWidth="1"/>
    <col min="2" max="2" width="7.66015625" style="3" customWidth="1"/>
    <col min="3" max="3" width="11.66015625" style="3" customWidth="1"/>
    <col min="4" max="4" width="45.33203125" style="3" customWidth="1"/>
    <col min="5" max="5" width="4.33203125" style="3" customWidth="1"/>
    <col min="6" max="6" width="15.33203125" style="4" customWidth="1"/>
    <col min="7" max="7" width="15.66015625" style="5" customWidth="1"/>
    <col min="8" max="8" width="15.16015625" style="5" customWidth="1"/>
    <col min="9" max="10" width="10.5" style="1" customWidth="1"/>
    <col min="11" max="11" width="12.83203125" style="1" bestFit="1" customWidth="1"/>
    <col min="12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9"/>
      <c r="G1" s="8"/>
      <c r="H1" s="8"/>
    </row>
    <row r="2" spans="1:8" s="6" customFormat="1" ht="12.75" customHeight="1">
      <c r="A2" s="10" t="s">
        <v>1</v>
      </c>
      <c r="B2" s="11"/>
      <c r="C2" s="11"/>
      <c r="D2" s="11"/>
      <c r="E2" s="11"/>
      <c r="F2" s="9"/>
      <c r="G2" s="8"/>
      <c r="H2" s="8"/>
    </row>
    <row r="3" spans="1:8" s="6" customFormat="1" ht="12.75" customHeight="1">
      <c r="A3" s="10" t="s">
        <v>273</v>
      </c>
      <c r="B3" s="11"/>
      <c r="C3" s="11"/>
      <c r="D3" s="11"/>
      <c r="E3" s="11"/>
      <c r="F3" s="9"/>
      <c r="G3" s="8"/>
      <c r="H3" s="8"/>
    </row>
    <row r="4" spans="1:8" s="6" customFormat="1" ht="12.75" customHeight="1">
      <c r="A4" s="10"/>
      <c r="B4" s="11"/>
      <c r="C4" s="10"/>
      <c r="D4" s="11"/>
      <c r="E4" s="11"/>
      <c r="F4" s="9"/>
      <c r="G4" s="8"/>
      <c r="H4" s="8"/>
    </row>
    <row r="5" spans="1:8" s="6" customFormat="1" ht="12.75" customHeight="1">
      <c r="A5" s="11" t="s">
        <v>3</v>
      </c>
      <c r="B5" s="11"/>
      <c r="C5" s="11"/>
      <c r="D5" s="11"/>
      <c r="E5" s="11"/>
      <c r="F5" s="9"/>
      <c r="G5" s="8"/>
      <c r="H5" s="11" t="s">
        <v>274</v>
      </c>
    </row>
    <row r="6" spans="1:8" s="6" customFormat="1" ht="6" customHeight="1" thickBot="1">
      <c r="A6" s="8"/>
      <c r="B6" s="8"/>
      <c r="C6" s="8"/>
      <c r="D6" s="8"/>
      <c r="E6" s="8"/>
      <c r="F6" s="9"/>
      <c r="G6" s="8"/>
      <c r="H6" s="8"/>
    </row>
    <row r="7" spans="1:8" s="6" customFormat="1" ht="24" customHeight="1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2" t="s">
        <v>11</v>
      </c>
      <c r="H7" s="12" t="s">
        <v>12</v>
      </c>
    </row>
    <row r="8" spans="1:8" s="6" customFormat="1" ht="12.75" customHeight="1" thickBot="1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18</v>
      </c>
      <c r="G8" s="12" t="s">
        <v>19</v>
      </c>
      <c r="H8" s="12" t="s">
        <v>20</v>
      </c>
    </row>
    <row r="9" spans="1:8" s="6" customFormat="1" ht="4.5" customHeight="1">
      <c r="A9" s="8"/>
      <c r="B9" s="8"/>
      <c r="C9" s="8"/>
      <c r="D9" s="8"/>
      <c r="E9" s="8"/>
      <c r="F9" s="9"/>
      <c r="G9" s="8"/>
      <c r="H9" s="8"/>
    </row>
    <row r="10" spans="1:8" s="6" customFormat="1" ht="21" customHeight="1">
      <c r="A10" s="14"/>
      <c r="B10" s="15"/>
      <c r="C10" s="15" t="s">
        <v>21</v>
      </c>
      <c r="D10" s="15" t="s">
        <v>22</v>
      </c>
      <c r="E10" s="15"/>
      <c r="F10" s="16"/>
      <c r="G10" s="17"/>
      <c r="H10" s="263">
        <f>H11+H18+H20+H47</f>
        <v>-36260.770000000004</v>
      </c>
    </row>
    <row r="11" spans="1:8" s="6" customFormat="1" ht="21" customHeight="1" thickBot="1">
      <c r="A11" s="14"/>
      <c r="B11" s="15"/>
      <c r="C11" s="15" t="s">
        <v>13</v>
      </c>
      <c r="D11" s="15" t="s">
        <v>23</v>
      </c>
      <c r="E11" s="15"/>
      <c r="F11" s="16"/>
      <c r="G11" s="17"/>
      <c r="H11" s="263">
        <f>SUM(H12:H17)</f>
        <v>-1041.5</v>
      </c>
    </row>
    <row r="12" spans="1:8" s="6" customFormat="1" ht="24" customHeight="1">
      <c r="A12" s="60">
        <v>2</v>
      </c>
      <c r="B12" s="61" t="s">
        <v>24</v>
      </c>
      <c r="C12" s="61" t="s">
        <v>28</v>
      </c>
      <c r="D12" s="61" t="s">
        <v>29</v>
      </c>
      <c r="E12" s="61" t="s">
        <v>30</v>
      </c>
      <c r="F12" s="62">
        <v>-3.6</v>
      </c>
      <c r="G12" s="63">
        <v>145</v>
      </c>
      <c r="H12" s="266">
        <f aca="true" t="shared" si="0" ref="H12:H17">F12*G12</f>
        <v>-522</v>
      </c>
    </row>
    <row r="13" spans="1:8" s="6" customFormat="1" ht="13.5" customHeight="1">
      <c r="A13" s="65">
        <v>3</v>
      </c>
      <c r="B13" s="22" t="s">
        <v>24</v>
      </c>
      <c r="C13" s="22" t="s">
        <v>31</v>
      </c>
      <c r="D13" s="22" t="s">
        <v>32</v>
      </c>
      <c r="E13" s="22" t="s">
        <v>33</v>
      </c>
      <c r="F13" s="23">
        <v>-11.6</v>
      </c>
      <c r="G13" s="24">
        <v>3</v>
      </c>
      <c r="H13" s="267">
        <f t="shared" si="0"/>
        <v>-34.8</v>
      </c>
    </row>
    <row r="14" spans="1:8" s="6" customFormat="1" ht="13.5" customHeight="1">
      <c r="A14" s="65">
        <v>4</v>
      </c>
      <c r="B14" s="22" t="s">
        <v>24</v>
      </c>
      <c r="C14" s="22" t="s">
        <v>34</v>
      </c>
      <c r="D14" s="22" t="s">
        <v>35</v>
      </c>
      <c r="E14" s="22" t="s">
        <v>33</v>
      </c>
      <c r="F14" s="23">
        <v>-11.6</v>
      </c>
      <c r="G14" s="24">
        <v>2</v>
      </c>
      <c r="H14" s="267">
        <f t="shared" si="0"/>
        <v>-23.2</v>
      </c>
    </row>
    <row r="15" spans="1:8" s="6" customFormat="1" ht="24" customHeight="1">
      <c r="A15" s="65">
        <v>5</v>
      </c>
      <c r="B15" s="22" t="s">
        <v>24</v>
      </c>
      <c r="C15" s="22" t="s">
        <v>36</v>
      </c>
      <c r="D15" s="22" t="s">
        <v>37</v>
      </c>
      <c r="E15" s="22" t="s">
        <v>30</v>
      </c>
      <c r="F15" s="23">
        <v>-3.6</v>
      </c>
      <c r="G15" s="24">
        <v>20</v>
      </c>
      <c r="H15" s="267">
        <f t="shared" si="0"/>
        <v>-72</v>
      </c>
    </row>
    <row r="16" spans="1:8" s="6" customFormat="1" ht="24" customHeight="1">
      <c r="A16" s="65">
        <v>6</v>
      </c>
      <c r="B16" s="22" t="s">
        <v>24</v>
      </c>
      <c r="C16" s="22" t="s">
        <v>38</v>
      </c>
      <c r="D16" s="22" t="s">
        <v>39</v>
      </c>
      <c r="E16" s="22" t="s">
        <v>30</v>
      </c>
      <c r="F16" s="23">
        <v>-2.05</v>
      </c>
      <c r="G16" s="24">
        <v>105</v>
      </c>
      <c r="H16" s="267">
        <f t="shared" si="0"/>
        <v>-215.24999999999997</v>
      </c>
    </row>
    <row r="17" spans="1:8" s="6" customFormat="1" ht="24" customHeight="1" thickBot="1">
      <c r="A17" s="67">
        <v>7</v>
      </c>
      <c r="B17" s="68" t="s">
        <v>24</v>
      </c>
      <c r="C17" s="68" t="s">
        <v>40</v>
      </c>
      <c r="D17" s="68" t="s">
        <v>41</v>
      </c>
      <c r="E17" s="68" t="s">
        <v>30</v>
      </c>
      <c r="F17" s="69">
        <v>-2.05</v>
      </c>
      <c r="G17" s="70">
        <v>85</v>
      </c>
      <c r="H17" s="268">
        <f t="shared" si="0"/>
        <v>-174.24999999999997</v>
      </c>
    </row>
    <row r="18" spans="1:8" s="6" customFormat="1" ht="21" customHeight="1" thickBot="1">
      <c r="A18" s="14"/>
      <c r="B18" s="15"/>
      <c r="C18" s="15" t="s">
        <v>16</v>
      </c>
      <c r="D18" s="15" t="s">
        <v>42</v>
      </c>
      <c r="E18" s="15"/>
      <c r="F18" s="16"/>
      <c r="G18" s="17"/>
      <c r="H18" s="263">
        <f>SUM(H19:H19)</f>
        <v>-204.75</v>
      </c>
    </row>
    <row r="19" spans="1:8" s="6" customFormat="1" ht="13.5" customHeight="1" thickBot="1">
      <c r="A19" s="242">
        <v>8</v>
      </c>
      <c r="B19" s="243" t="s">
        <v>43</v>
      </c>
      <c r="C19" s="243" t="s">
        <v>44</v>
      </c>
      <c r="D19" s="243" t="s">
        <v>45</v>
      </c>
      <c r="E19" s="243" t="s">
        <v>30</v>
      </c>
      <c r="F19" s="244">
        <v>-0.25</v>
      </c>
      <c r="G19" s="245">
        <v>819</v>
      </c>
      <c r="H19" s="269">
        <f>F19*G19</f>
        <v>-204.75</v>
      </c>
    </row>
    <row r="20" spans="1:8" s="6" customFormat="1" ht="21" customHeight="1" thickBot="1">
      <c r="A20" s="14"/>
      <c r="B20" s="15"/>
      <c r="C20" s="15" t="s">
        <v>20</v>
      </c>
      <c r="D20" s="15" t="s">
        <v>56</v>
      </c>
      <c r="E20" s="15"/>
      <c r="F20" s="16"/>
      <c r="G20" s="17"/>
      <c r="H20" s="263">
        <f>SUM(H21:H41)</f>
        <v>-34916.770000000004</v>
      </c>
    </row>
    <row r="21" spans="1:8" s="6" customFormat="1" ht="24" customHeight="1">
      <c r="A21" s="18">
        <v>17</v>
      </c>
      <c r="B21" s="19" t="s">
        <v>43</v>
      </c>
      <c r="C21" s="19" t="s">
        <v>66</v>
      </c>
      <c r="D21" s="19" t="s">
        <v>67</v>
      </c>
      <c r="E21" s="19" t="s">
        <v>27</v>
      </c>
      <c r="F21" s="20">
        <v>-17</v>
      </c>
      <c r="G21" s="21">
        <v>28</v>
      </c>
      <c r="H21" s="292">
        <f aca="true" t="shared" si="1" ref="H21:H26">F21*G21</f>
        <v>-476</v>
      </c>
    </row>
    <row r="22" spans="1:8" s="6" customFormat="1" ht="13.5" customHeight="1">
      <c r="A22" s="293">
        <v>18</v>
      </c>
      <c r="B22" s="294" t="s">
        <v>59</v>
      </c>
      <c r="C22" s="294" t="s">
        <v>68</v>
      </c>
      <c r="D22" s="294" t="s">
        <v>69</v>
      </c>
      <c r="E22" s="294" t="s">
        <v>55</v>
      </c>
      <c r="F22" s="295">
        <v>-9.223</v>
      </c>
      <c r="G22" s="296">
        <v>175</v>
      </c>
      <c r="H22" s="297">
        <f t="shared" si="1"/>
        <v>-1614.025</v>
      </c>
    </row>
    <row r="23" spans="1:8" s="6" customFormat="1" ht="13.5" customHeight="1">
      <c r="A23" s="81">
        <v>29</v>
      </c>
      <c r="B23" s="22" t="s">
        <v>43</v>
      </c>
      <c r="C23" s="22" t="s">
        <v>271</v>
      </c>
      <c r="D23" s="22" t="s">
        <v>93</v>
      </c>
      <c r="E23" s="22" t="s">
        <v>55</v>
      </c>
      <c r="F23" s="23">
        <v>-1</v>
      </c>
      <c r="G23" s="24">
        <v>348</v>
      </c>
      <c r="H23" s="297">
        <f t="shared" si="1"/>
        <v>-348</v>
      </c>
    </row>
    <row r="24" spans="1:8" s="6" customFormat="1" ht="13.5" customHeight="1">
      <c r="A24" s="293">
        <v>30</v>
      </c>
      <c r="B24" s="294" t="s">
        <v>94</v>
      </c>
      <c r="C24" s="294" t="s">
        <v>271</v>
      </c>
      <c r="D24" s="294" t="s">
        <v>96</v>
      </c>
      <c r="E24" s="294" t="s">
        <v>55</v>
      </c>
      <c r="F24" s="295">
        <v>-1</v>
      </c>
      <c r="G24" s="296">
        <v>7948</v>
      </c>
      <c r="H24" s="298">
        <f t="shared" si="1"/>
        <v>-7948</v>
      </c>
    </row>
    <row r="25" spans="1:8" s="6" customFormat="1" ht="13.5" customHeight="1">
      <c r="A25" s="293">
        <v>20</v>
      </c>
      <c r="B25" s="294" t="s">
        <v>59</v>
      </c>
      <c r="C25" s="294" t="s">
        <v>73</v>
      </c>
      <c r="D25" s="294" t="s">
        <v>74</v>
      </c>
      <c r="E25" s="294" t="s">
        <v>55</v>
      </c>
      <c r="F25" s="295">
        <v>-20.65</v>
      </c>
      <c r="G25" s="296">
        <v>574</v>
      </c>
      <c r="H25" s="298">
        <f t="shared" si="1"/>
        <v>-11853.099999999999</v>
      </c>
    </row>
    <row r="26" spans="1:12" s="6" customFormat="1" ht="13.5" customHeight="1">
      <c r="A26" s="293"/>
      <c r="B26" s="294"/>
      <c r="C26" s="294" t="s">
        <v>271</v>
      </c>
      <c r="D26" s="294" t="s">
        <v>272</v>
      </c>
      <c r="E26" s="294" t="s">
        <v>55</v>
      </c>
      <c r="F26" s="295">
        <f>20.65*3</f>
        <v>61.949999999999996</v>
      </c>
      <c r="G26" s="296">
        <v>228.9</v>
      </c>
      <c r="H26" s="298">
        <f t="shared" si="1"/>
        <v>14180.355</v>
      </c>
      <c r="L26" s="261"/>
    </row>
    <row r="27" spans="1:12" s="6" customFormat="1" ht="13.5" customHeight="1">
      <c r="A27" s="310">
        <v>8</v>
      </c>
      <c r="B27" s="311">
        <v>422</v>
      </c>
      <c r="C27" s="311">
        <v>422913520</v>
      </c>
      <c r="D27" s="311" t="s">
        <v>288</v>
      </c>
      <c r="E27" s="311" t="s">
        <v>55</v>
      </c>
      <c r="F27" s="312">
        <v>-1</v>
      </c>
      <c r="G27" s="313">
        <v>666</v>
      </c>
      <c r="H27" s="314">
        <f aca="true" t="shared" si="2" ref="H27:H41">F27*G27</f>
        <v>-666</v>
      </c>
      <c r="I27" s="299"/>
      <c r="J27" s="299"/>
      <c r="K27" s="299"/>
      <c r="L27" s="261"/>
    </row>
    <row r="28" spans="1:12" s="6" customFormat="1" ht="28.5" customHeight="1">
      <c r="A28" s="315">
        <v>13</v>
      </c>
      <c r="B28" s="316">
        <v>271</v>
      </c>
      <c r="C28" s="316">
        <v>871231121</v>
      </c>
      <c r="D28" s="316" t="s">
        <v>289</v>
      </c>
      <c r="E28" s="316" t="s">
        <v>27</v>
      </c>
      <c r="F28" s="317">
        <v>-1</v>
      </c>
      <c r="G28" s="318">
        <v>35.5</v>
      </c>
      <c r="H28" s="314">
        <f t="shared" si="2"/>
        <v>-35.5</v>
      </c>
      <c r="I28" s="299"/>
      <c r="J28" s="299"/>
      <c r="K28" s="299"/>
      <c r="L28" s="261"/>
    </row>
    <row r="29" spans="1:12" s="6" customFormat="1" ht="13.5" customHeight="1">
      <c r="A29" s="310">
        <v>14</v>
      </c>
      <c r="B29" s="311">
        <v>286</v>
      </c>
      <c r="C29" s="311">
        <v>286138110</v>
      </c>
      <c r="D29" s="311" t="s">
        <v>290</v>
      </c>
      <c r="E29" s="311" t="s">
        <v>27</v>
      </c>
      <c r="F29" s="312">
        <v>-1</v>
      </c>
      <c r="G29" s="313">
        <v>67</v>
      </c>
      <c r="H29" s="314">
        <f t="shared" si="2"/>
        <v>-67</v>
      </c>
      <c r="I29" s="299"/>
      <c r="J29" s="299"/>
      <c r="K29" s="299"/>
      <c r="L29" s="261"/>
    </row>
    <row r="30" spans="1:12" s="6" customFormat="1" ht="29.25" customHeight="1">
      <c r="A30" s="315">
        <v>15</v>
      </c>
      <c r="B30" s="316">
        <v>271</v>
      </c>
      <c r="C30" s="316">
        <v>871241121</v>
      </c>
      <c r="D30" s="316" t="s">
        <v>291</v>
      </c>
      <c r="E30" s="316" t="s">
        <v>27</v>
      </c>
      <c r="F30" s="317">
        <v>-1</v>
      </c>
      <c r="G30" s="318">
        <v>43.5</v>
      </c>
      <c r="H30" s="314">
        <f t="shared" si="2"/>
        <v>-43.5</v>
      </c>
      <c r="I30" s="299"/>
      <c r="J30" s="299"/>
      <c r="K30" s="299"/>
      <c r="L30" s="261"/>
    </row>
    <row r="31" spans="1:12" s="6" customFormat="1" ht="25.5" customHeight="1">
      <c r="A31" s="310">
        <v>14</v>
      </c>
      <c r="B31" s="311">
        <v>286</v>
      </c>
      <c r="C31" s="311">
        <v>286138110</v>
      </c>
      <c r="D31" s="311" t="s">
        <v>292</v>
      </c>
      <c r="E31" s="311" t="s">
        <v>27</v>
      </c>
      <c r="F31" s="312">
        <v>-1</v>
      </c>
      <c r="G31" s="313">
        <v>95</v>
      </c>
      <c r="H31" s="314">
        <f t="shared" si="2"/>
        <v>-95</v>
      </c>
      <c r="I31" s="299"/>
      <c r="J31" s="299"/>
      <c r="K31" s="299"/>
      <c r="L31" s="261"/>
    </row>
    <row r="32" spans="1:12" s="6" customFormat="1" ht="25.5" customHeight="1">
      <c r="A32" s="315">
        <v>24</v>
      </c>
      <c r="B32" s="316">
        <v>271</v>
      </c>
      <c r="C32" s="316">
        <v>877353121</v>
      </c>
      <c r="D32" s="316" t="s">
        <v>293</v>
      </c>
      <c r="E32" s="316" t="s">
        <v>55</v>
      </c>
      <c r="F32" s="317">
        <v>-2</v>
      </c>
      <c r="G32" s="318">
        <v>56</v>
      </c>
      <c r="H32" s="314">
        <f t="shared" si="2"/>
        <v>-112</v>
      </c>
      <c r="I32" s="299"/>
      <c r="J32" s="299"/>
      <c r="K32" s="299"/>
      <c r="L32" s="261"/>
    </row>
    <row r="33" spans="1:12" s="6" customFormat="1" ht="25.5" customHeight="1">
      <c r="A33" s="310">
        <v>25</v>
      </c>
      <c r="B33" s="311">
        <v>286</v>
      </c>
      <c r="C33" s="311">
        <v>286114250</v>
      </c>
      <c r="D33" s="311" t="s">
        <v>294</v>
      </c>
      <c r="E33" s="311" t="s">
        <v>27</v>
      </c>
      <c r="F33" s="312">
        <v>-2</v>
      </c>
      <c r="G33" s="313">
        <v>100</v>
      </c>
      <c r="H33" s="314">
        <f t="shared" si="2"/>
        <v>-200</v>
      </c>
      <c r="I33" s="299"/>
      <c r="J33" s="299"/>
      <c r="K33" s="299"/>
      <c r="L33" s="261"/>
    </row>
    <row r="34" spans="1:12" s="6" customFormat="1" ht="25.5" customHeight="1">
      <c r="A34" s="315">
        <v>26</v>
      </c>
      <c r="B34" s="316">
        <v>271</v>
      </c>
      <c r="C34" s="316">
        <v>891261111</v>
      </c>
      <c r="D34" s="316" t="s">
        <v>295</v>
      </c>
      <c r="E34" s="316" t="s">
        <v>55</v>
      </c>
      <c r="F34" s="317">
        <v>-2</v>
      </c>
      <c r="G34" s="318">
        <v>570</v>
      </c>
      <c r="H34" s="314">
        <f t="shared" si="2"/>
        <v>-1140</v>
      </c>
      <c r="I34" s="299"/>
      <c r="J34" s="299"/>
      <c r="K34" s="299"/>
      <c r="L34" s="261"/>
    </row>
    <row r="35" spans="1:12" s="6" customFormat="1" ht="25.5" customHeight="1">
      <c r="A35" s="319">
        <v>27</v>
      </c>
      <c r="B35" s="320">
        <v>422</v>
      </c>
      <c r="C35" s="320">
        <v>422211070</v>
      </c>
      <c r="D35" s="320" t="s">
        <v>296</v>
      </c>
      <c r="E35" s="320" t="s">
        <v>55</v>
      </c>
      <c r="F35" s="321">
        <v>-2</v>
      </c>
      <c r="G35" s="322">
        <v>5660</v>
      </c>
      <c r="H35" s="323">
        <f t="shared" si="2"/>
        <v>-11320</v>
      </c>
      <c r="I35" s="299"/>
      <c r="J35" s="299"/>
      <c r="K35" s="299"/>
      <c r="L35" s="261"/>
    </row>
    <row r="36" spans="1:12" s="6" customFormat="1" ht="25.5" customHeight="1">
      <c r="A36" s="319">
        <v>28</v>
      </c>
      <c r="B36" s="320">
        <v>422</v>
      </c>
      <c r="C36" s="320">
        <v>422901020</v>
      </c>
      <c r="D36" s="320" t="s">
        <v>297</v>
      </c>
      <c r="E36" s="320" t="s">
        <v>55</v>
      </c>
      <c r="F36" s="321">
        <v>-2</v>
      </c>
      <c r="G36" s="322">
        <v>200</v>
      </c>
      <c r="H36" s="323">
        <f t="shared" si="2"/>
        <v>-400</v>
      </c>
      <c r="I36" s="299"/>
      <c r="J36" s="299"/>
      <c r="K36" s="299"/>
      <c r="L36" s="261"/>
    </row>
    <row r="37" spans="1:12" s="6" customFormat="1" ht="25.5" customHeight="1">
      <c r="A37" s="255">
        <v>31</v>
      </c>
      <c r="B37" s="256" t="s">
        <v>43</v>
      </c>
      <c r="C37" s="256" t="s">
        <v>98</v>
      </c>
      <c r="D37" s="256" t="s">
        <v>99</v>
      </c>
      <c r="E37" s="256" t="s">
        <v>55</v>
      </c>
      <c r="F37" s="308">
        <v>-1</v>
      </c>
      <c r="G37" s="282">
        <f>2288+5988+245</f>
        <v>8521</v>
      </c>
      <c r="H37" s="283">
        <f t="shared" si="2"/>
        <v>-8521</v>
      </c>
      <c r="I37" s="299"/>
      <c r="J37" s="299"/>
      <c r="K37" s="299"/>
      <c r="L37" s="261"/>
    </row>
    <row r="38" spans="1:12" s="6" customFormat="1" ht="25.5" customHeight="1">
      <c r="A38" s="252">
        <v>32</v>
      </c>
      <c r="B38" s="253" t="s">
        <v>100</v>
      </c>
      <c r="C38" s="253" t="s">
        <v>101</v>
      </c>
      <c r="D38" s="253" t="s">
        <v>278</v>
      </c>
      <c r="E38" s="253" t="s">
        <v>55</v>
      </c>
      <c r="F38" s="309">
        <v>-1</v>
      </c>
      <c r="G38" s="280">
        <v>1158</v>
      </c>
      <c r="H38" s="281">
        <f t="shared" si="2"/>
        <v>-1158</v>
      </c>
      <c r="I38" s="299"/>
      <c r="J38" s="299"/>
      <c r="K38" s="299"/>
      <c r="L38" s="261"/>
    </row>
    <row r="39" spans="1:12" s="6" customFormat="1" ht="25.5" customHeight="1">
      <c r="A39" s="252">
        <v>33</v>
      </c>
      <c r="B39" s="253" t="s">
        <v>100</v>
      </c>
      <c r="C39" s="253" t="s">
        <v>104</v>
      </c>
      <c r="D39" s="253" t="s">
        <v>105</v>
      </c>
      <c r="E39" s="253" t="s">
        <v>55</v>
      </c>
      <c r="F39" s="309">
        <v>-1</v>
      </c>
      <c r="G39" s="280">
        <v>1360</v>
      </c>
      <c r="H39" s="281">
        <f t="shared" si="2"/>
        <v>-1360</v>
      </c>
      <c r="I39" s="299"/>
      <c r="J39" s="299"/>
      <c r="K39" s="299"/>
      <c r="L39" s="261"/>
    </row>
    <row r="40" spans="1:12" s="6" customFormat="1" ht="25.5" customHeight="1">
      <c r="A40" s="255">
        <v>34</v>
      </c>
      <c r="B40" s="256" t="s">
        <v>43</v>
      </c>
      <c r="C40" s="256" t="s">
        <v>107</v>
      </c>
      <c r="D40" s="256" t="s">
        <v>108</v>
      </c>
      <c r="E40" s="256" t="s">
        <v>55</v>
      </c>
      <c r="F40" s="308">
        <v>-1</v>
      </c>
      <c r="G40" s="282">
        <v>98</v>
      </c>
      <c r="H40" s="281">
        <f t="shared" si="2"/>
        <v>-98</v>
      </c>
      <c r="I40" s="299"/>
      <c r="J40" s="299"/>
      <c r="K40" s="299"/>
      <c r="L40" s="261"/>
    </row>
    <row r="41" spans="1:12" s="6" customFormat="1" ht="25.5" customHeight="1">
      <c r="A41" s="252">
        <v>35</v>
      </c>
      <c r="B41" s="253" t="s">
        <v>109</v>
      </c>
      <c r="C41" s="253" t="s">
        <v>110</v>
      </c>
      <c r="D41" s="253" t="s">
        <v>111</v>
      </c>
      <c r="E41" s="253" t="s">
        <v>55</v>
      </c>
      <c r="F41" s="309">
        <v>-1</v>
      </c>
      <c r="G41" s="280">
        <v>1642</v>
      </c>
      <c r="H41" s="281">
        <f t="shared" si="2"/>
        <v>-1642</v>
      </c>
      <c r="I41" s="299"/>
      <c r="J41" s="299"/>
      <c r="K41" s="299"/>
      <c r="L41" s="261"/>
    </row>
    <row r="42" spans="1:12" s="6" customFormat="1" ht="25.5" customHeight="1">
      <c r="A42" s="324"/>
      <c r="B42" s="325"/>
      <c r="C42" s="325"/>
      <c r="D42" s="325"/>
      <c r="E42" s="325"/>
      <c r="F42" s="326"/>
      <c r="G42" s="327"/>
      <c r="H42" s="328"/>
      <c r="I42" s="299"/>
      <c r="J42" s="299"/>
      <c r="K42" s="299"/>
      <c r="L42" s="261"/>
    </row>
    <row r="43" spans="1:12" s="6" customFormat="1" ht="25.5" customHeight="1" thickBot="1">
      <c r="A43" s="324"/>
      <c r="B43" s="325"/>
      <c r="C43" s="325"/>
      <c r="D43" s="325"/>
      <c r="E43" s="325"/>
      <c r="F43" s="326"/>
      <c r="G43" s="327"/>
      <c r="H43" s="328"/>
      <c r="I43" s="299"/>
      <c r="J43" s="299"/>
      <c r="K43" s="299"/>
      <c r="L43" s="261"/>
    </row>
    <row r="44" spans="1:12" s="6" customFormat="1" ht="13.5" customHeight="1" thickBot="1">
      <c r="A44" s="287"/>
      <c r="B44" s="288"/>
      <c r="C44" s="288"/>
      <c r="D44" s="288"/>
      <c r="E44" s="288"/>
      <c r="F44" s="289"/>
      <c r="G44" s="290"/>
      <c r="H44" s="291"/>
      <c r="L44" s="261"/>
    </row>
    <row r="45" spans="1:11" s="6" customFormat="1" ht="24.75" customHeight="1">
      <c r="A45" s="375"/>
      <c r="B45" s="376"/>
      <c r="C45" s="376"/>
      <c r="D45" s="376"/>
      <c r="E45" s="376"/>
      <c r="F45" s="376"/>
      <c r="G45" s="376"/>
      <c r="H45" s="377"/>
      <c r="K45" s="300"/>
    </row>
    <row r="46" spans="1:8" s="6" customFormat="1" ht="21" customHeight="1">
      <c r="A46" s="14"/>
      <c r="B46" s="15"/>
      <c r="C46" s="15" t="s">
        <v>120</v>
      </c>
      <c r="D46" s="15" t="s">
        <v>121</v>
      </c>
      <c r="E46" s="15"/>
      <c r="F46" s="16"/>
      <c r="G46" s="17"/>
      <c r="H46" s="17"/>
    </row>
    <row r="47" spans="1:8" s="6" customFormat="1" ht="13.5" customHeight="1" thickBot="1">
      <c r="A47" s="14"/>
      <c r="B47" s="15"/>
      <c r="C47" s="15" t="s">
        <v>122</v>
      </c>
      <c r="D47" s="15" t="s">
        <v>123</v>
      </c>
      <c r="E47" s="15"/>
      <c r="F47" s="16"/>
      <c r="G47" s="17"/>
      <c r="H47" s="263">
        <f>H48</f>
        <v>-97.75</v>
      </c>
    </row>
    <row r="48" spans="1:8" s="6" customFormat="1" ht="24" customHeight="1" thickBot="1">
      <c r="A48" s="29">
        <v>40</v>
      </c>
      <c r="B48" s="30" t="s">
        <v>43</v>
      </c>
      <c r="C48" s="30" t="s">
        <v>124</v>
      </c>
      <c r="D48" s="30" t="s">
        <v>125</v>
      </c>
      <c r="E48" s="30" t="s">
        <v>52</v>
      </c>
      <c r="F48" s="31">
        <v>-0.85</v>
      </c>
      <c r="G48" s="32">
        <v>115</v>
      </c>
      <c r="H48" s="264">
        <f>F48*G48</f>
        <v>-97.75</v>
      </c>
    </row>
    <row r="49" spans="1:8" s="6" customFormat="1" ht="21" customHeight="1">
      <c r="A49" s="56"/>
      <c r="B49" s="57"/>
      <c r="C49" s="57"/>
      <c r="D49" s="57" t="s">
        <v>132</v>
      </c>
      <c r="E49" s="57"/>
      <c r="F49" s="58"/>
      <c r="G49" s="59"/>
      <c r="H49" s="265">
        <f>H47+H20+H18+H11</f>
        <v>-36260.770000000004</v>
      </c>
    </row>
    <row r="50" ht="12" customHeight="1"/>
    <row r="51" ht="12" customHeight="1"/>
    <row r="52" ht="12" customHeight="1">
      <c r="K52" s="329">
        <v>-9402.77</v>
      </c>
    </row>
    <row r="53" spans="3:11" ht="12" customHeight="1">
      <c r="C53" s="241"/>
      <c r="D53" s="372"/>
      <c r="E53" s="374"/>
      <c r="F53" s="374"/>
      <c r="G53" s="374"/>
      <c r="H53" s="374"/>
      <c r="K53" s="330"/>
    </row>
    <row r="54" spans="3:8" ht="12" customHeight="1">
      <c r="C54" s="241"/>
      <c r="D54" s="372"/>
      <c r="E54" s="373"/>
      <c r="F54" s="373"/>
      <c r="G54" s="373"/>
      <c r="H54" s="373"/>
    </row>
    <row r="55" spans="3:8" ht="12" customHeight="1">
      <c r="C55" s="241"/>
      <c r="D55" s="372"/>
      <c r="E55" s="373"/>
      <c r="F55" s="373"/>
      <c r="G55" s="373"/>
      <c r="H55" s="373"/>
    </row>
    <row r="56" spans="3:8" ht="12" customHeight="1">
      <c r="C56" s="241"/>
      <c r="D56" s="372"/>
      <c r="E56" s="373"/>
      <c r="F56" s="373"/>
      <c r="G56" s="373"/>
      <c r="H56" s="373"/>
    </row>
    <row r="57" spans="4:8" ht="12" customHeight="1">
      <c r="D57" s="372"/>
      <c r="E57" s="373"/>
      <c r="F57" s="373"/>
      <c r="G57" s="373"/>
      <c r="H57" s="373"/>
    </row>
    <row r="58" spans="4:8" ht="12" customHeight="1">
      <c r="D58" s="372"/>
      <c r="E58" s="373"/>
      <c r="F58" s="373"/>
      <c r="G58" s="373"/>
      <c r="H58" s="373"/>
    </row>
    <row r="59" spans="4:8" ht="12" customHeight="1">
      <c r="D59" s="372"/>
      <c r="E59" s="373"/>
      <c r="F59" s="373"/>
      <c r="G59" s="373"/>
      <c r="H59" s="373"/>
    </row>
    <row r="60" spans="4:8" ht="12" customHeight="1">
      <c r="D60" s="372"/>
      <c r="E60" s="373"/>
      <c r="F60" s="373"/>
      <c r="G60" s="373"/>
      <c r="H60" s="373"/>
    </row>
  </sheetData>
  <sheetProtection/>
  <mergeCells count="9">
    <mergeCell ref="D59:H59"/>
    <mergeCell ref="D60:H60"/>
    <mergeCell ref="A45:H45"/>
    <mergeCell ref="D53:H53"/>
    <mergeCell ref="D54:H54"/>
    <mergeCell ref="D55:H55"/>
    <mergeCell ref="D56:H56"/>
    <mergeCell ref="D57:H57"/>
    <mergeCell ref="D58:H5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28">
      <selection activeCell="J62" sqref="J62"/>
    </sheetView>
  </sheetViews>
  <sheetFormatPr defaultColWidth="9.33203125" defaultRowHeight="10.5"/>
  <cols>
    <col min="1" max="1" width="3" style="109" customWidth="1"/>
    <col min="2" max="2" width="2.16015625" style="109" customWidth="1"/>
    <col min="3" max="3" width="3.16015625" style="109" customWidth="1"/>
    <col min="4" max="4" width="8" style="109" customWidth="1"/>
    <col min="5" max="5" width="15.83203125" style="109" customWidth="1"/>
    <col min="6" max="6" width="0.65625" style="109" customWidth="1"/>
    <col min="7" max="7" width="3.5" style="109" customWidth="1"/>
    <col min="8" max="8" width="3.16015625" style="109" customWidth="1"/>
    <col min="9" max="9" width="11.33203125" style="109" customWidth="1"/>
    <col min="10" max="10" width="15.83203125" style="109" customWidth="1"/>
    <col min="11" max="11" width="0.82421875" style="109" customWidth="1"/>
    <col min="12" max="12" width="3.5" style="109" customWidth="1"/>
    <col min="13" max="13" width="3.33203125" style="109" customWidth="1"/>
    <col min="14" max="14" width="2.33203125" style="109" customWidth="1"/>
    <col min="15" max="15" width="14.83203125" style="109" customWidth="1"/>
    <col min="16" max="16" width="3.33203125" style="109" customWidth="1"/>
    <col min="17" max="17" width="2.33203125" style="109" customWidth="1"/>
    <col min="18" max="18" width="18.66015625" style="109" customWidth="1"/>
    <col min="19" max="19" width="0.65625" style="109" customWidth="1"/>
    <col min="20" max="22" width="9.33203125" style="109" customWidth="1"/>
    <col min="23" max="23" width="14" style="109" bestFit="1" customWidth="1"/>
    <col min="24" max="16384" width="9.33203125" style="109" customWidth="1"/>
  </cols>
  <sheetData>
    <row r="1" spans="1:19" ht="12" customHeight="1">
      <c r="A1" s="343" t="s">
        <v>301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</row>
    <row r="2" spans="1:19" ht="23.25" customHeigh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</row>
    <row r="3" spans="1:19" ht="12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</row>
    <row r="4" spans="1:19" ht="8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19" ht="15" customHeight="1">
      <c r="A5" s="113"/>
      <c r="B5" s="114" t="s">
        <v>192</v>
      </c>
      <c r="C5" s="114"/>
      <c r="D5" s="114"/>
      <c r="E5" s="115" t="s">
        <v>251</v>
      </c>
      <c r="F5" s="116"/>
      <c r="G5" s="116"/>
      <c r="H5" s="116"/>
      <c r="I5" s="116"/>
      <c r="J5" s="117"/>
      <c r="K5" s="114"/>
      <c r="L5" s="114"/>
      <c r="M5" s="114"/>
      <c r="N5" s="114"/>
      <c r="O5" s="114" t="s">
        <v>193</v>
      </c>
      <c r="P5" s="115" t="s">
        <v>194</v>
      </c>
      <c r="Q5" s="118"/>
      <c r="R5" s="117"/>
      <c r="S5" s="119"/>
    </row>
    <row r="6" spans="1:19" ht="17.25" customHeight="1" hidden="1">
      <c r="A6" s="113"/>
      <c r="B6" s="114" t="s">
        <v>195</v>
      </c>
      <c r="C6" s="114"/>
      <c r="D6" s="114"/>
      <c r="E6" s="120" t="s">
        <v>196</v>
      </c>
      <c r="F6" s="114"/>
      <c r="G6" s="114"/>
      <c r="H6" s="114"/>
      <c r="I6" s="114"/>
      <c r="J6" s="121"/>
      <c r="K6" s="114"/>
      <c r="L6" s="114"/>
      <c r="M6" s="114"/>
      <c r="N6" s="114"/>
      <c r="O6" s="114"/>
      <c r="P6" s="122"/>
      <c r="Q6" s="123"/>
      <c r="R6" s="121"/>
      <c r="S6" s="119"/>
    </row>
    <row r="7" spans="1:19" ht="17.25" customHeight="1">
      <c r="A7" s="113"/>
      <c r="B7" s="114" t="s">
        <v>197</v>
      </c>
      <c r="C7" s="114"/>
      <c r="D7" s="114"/>
      <c r="E7" s="285" t="s">
        <v>287</v>
      </c>
      <c r="F7" s="114"/>
      <c r="G7" s="114"/>
      <c r="H7" s="114"/>
      <c r="I7" s="114"/>
      <c r="J7" s="121"/>
      <c r="K7" s="114"/>
      <c r="L7" s="114"/>
      <c r="M7" s="114"/>
      <c r="N7" s="114"/>
      <c r="O7" s="114" t="s">
        <v>198</v>
      </c>
      <c r="P7" s="120"/>
      <c r="Q7" s="123"/>
      <c r="R7" s="121"/>
      <c r="S7" s="119"/>
    </row>
    <row r="8" spans="1:19" ht="17.25" customHeight="1" hidden="1">
      <c r="A8" s="113"/>
      <c r="B8" s="114" t="s">
        <v>199</v>
      </c>
      <c r="C8" s="114"/>
      <c r="D8" s="114"/>
      <c r="E8" s="124" t="s">
        <v>194</v>
      </c>
      <c r="F8" s="114"/>
      <c r="G8" s="114"/>
      <c r="H8" s="114"/>
      <c r="I8" s="114"/>
      <c r="J8" s="121"/>
      <c r="K8" s="114"/>
      <c r="L8" s="114"/>
      <c r="M8" s="114"/>
      <c r="N8" s="114"/>
      <c r="O8" s="114"/>
      <c r="P8" s="122"/>
      <c r="Q8" s="123"/>
      <c r="R8" s="121"/>
      <c r="S8" s="119"/>
    </row>
    <row r="9" spans="1:19" ht="17.25" customHeight="1">
      <c r="A9" s="113"/>
      <c r="B9" s="114" t="s">
        <v>200</v>
      </c>
      <c r="C9" s="114"/>
      <c r="D9" s="114"/>
      <c r="E9" s="125" t="s">
        <v>201</v>
      </c>
      <c r="F9" s="126"/>
      <c r="G9" s="126"/>
      <c r="H9" s="126"/>
      <c r="I9" s="126"/>
      <c r="J9" s="127"/>
      <c r="K9" s="114"/>
      <c r="L9" s="114"/>
      <c r="M9" s="114"/>
      <c r="N9" s="114"/>
      <c r="O9" s="114" t="s">
        <v>202</v>
      </c>
      <c r="P9" s="128" t="s">
        <v>266</v>
      </c>
      <c r="Q9" s="129"/>
      <c r="R9" s="127"/>
      <c r="S9" s="119"/>
    </row>
    <row r="10" spans="1:19" ht="17.25" customHeight="1" hidden="1">
      <c r="A10" s="113"/>
      <c r="B10" s="114" t="s">
        <v>203</v>
      </c>
      <c r="C10" s="114"/>
      <c r="D10" s="114"/>
      <c r="E10" s="130" t="s">
        <v>194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23"/>
      <c r="Q10" s="123"/>
      <c r="R10" s="114"/>
      <c r="S10" s="119"/>
    </row>
    <row r="11" spans="1:19" ht="17.25" customHeight="1" hidden="1">
      <c r="A11" s="113"/>
      <c r="B11" s="114" t="s">
        <v>204</v>
      </c>
      <c r="C11" s="114"/>
      <c r="D11" s="114"/>
      <c r="E11" s="130" t="s">
        <v>194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3"/>
      <c r="Q11" s="123"/>
      <c r="R11" s="114"/>
      <c r="S11" s="119"/>
    </row>
    <row r="12" spans="1:19" ht="17.25" customHeight="1" hidden="1">
      <c r="A12" s="113"/>
      <c r="B12" s="114" t="s">
        <v>205</v>
      </c>
      <c r="C12" s="114"/>
      <c r="D12" s="114"/>
      <c r="E12" s="130" t="s">
        <v>194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23"/>
      <c r="Q12" s="123"/>
      <c r="R12" s="114"/>
      <c r="S12" s="119"/>
    </row>
    <row r="13" spans="1:19" ht="17.25" customHeight="1" hidden="1">
      <c r="A13" s="113"/>
      <c r="B13" s="114"/>
      <c r="C13" s="114"/>
      <c r="D13" s="114"/>
      <c r="E13" s="130" t="s">
        <v>194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23"/>
      <c r="Q13" s="123"/>
      <c r="R13" s="114"/>
      <c r="S13" s="119"/>
    </row>
    <row r="14" spans="1:19" ht="17.25" customHeight="1" hidden="1">
      <c r="A14" s="113"/>
      <c r="B14" s="114"/>
      <c r="C14" s="114"/>
      <c r="D14" s="114"/>
      <c r="E14" s="130" t="s">
        <v>194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23"/>
      <c r="Q14" s="123"/>
      <c r="R14" s="114"/>
      <c r="S14" s="119"/>
    </row>
    <row r="15" spans="1:19" ht="17.25" customHeight="1" hidden="1">
      <c r="A15" s="113"/>
      <c r="B15" s="114"/>
      <c r="C15" s="114"/>
      <c r="D15" s="114"/>
      <c r="E15" s="130" t="s">
        <v>194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23"/>
      <c r="Q15" s="123"/>
      <c r="R15" s="114"/>
      <c r="S15" s="119"/>
    </row>
    <row r="16" spans="1:19" ht="17.25" customHeight="1" hidden="1">
      <c r="A16" s="113"/>
      <c r="B16" s="114"/>
      <c r="C16" s="114"/>
      <c r="D16" s="114"/>
      <c r="E16" s="130" t="s">
        <v>194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23"/>
      <c r="Q16" s="123"/>
      <c r="R16" s="114"/>
      <c r="S16" s="119"/>
    </row>
    <row r="17" spans="1:19" ht="17.25" customHeight="1" hidden="1">
      <c r="A17" s="113"/>
      <c r="B17" s="114"/>
      <c r="C17" s="114"/>
      <c r="D17" s="114"/>
      <c r="E17" s="130" t="s">
        <v>194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23"/>
      <c r="Q17" s="123"/>
      <c r="R17" s="114"/>
      <c r="S17" s="119"/>
    </row>
    <row r="18" spans="1:19" ht="17.25" customHeight="1" hidden="1">
      <c r="A18" s="113"/>
      <c r="B18" s="114"/>
      <c r="C18" s="114"/>
      <c r="D18" s="114"/>
      <c r="E18" s="130" t="s">
        <v>194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23"/>
      <c r="Q18" s="123"/>
      <c r="R18" s="114"/>
      <c r="S18" s="119"/>
    </row>
    <row r="19" spans="1:19" ht="17.25" customHeight="1" hidden="1">
      <c r="A19" s="113"/>
      <c r="B19" s="114"/>
      <c r="C19" s="114"/>
      <c r="D19" s="114"/>
      <c r="E19" s="130" t="s">
        <v>194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23"/>
      <c r="Q19" s="123"/>
      <c r="R19" s="114"/>
      <c r="S19" s="119"/>
    </row>
    <row r="20" spans="1:19" ht="17.25" customHeight="1" hidden="1">
      <c r="A20" s="113"/>
      <c r="B20" s="114"/>
      <c r="C20" s="114"/>
      <c r="D20" s="114"/>
      <c r="E20" s="130" t="s">
        <v>194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23"/>
      <c r="Q20" s="123"/>
      <c r="R20" s="114"/>
      <c r="S20" s="119"/>
    </row>
    <row r="21" spans="1:19" ht="17.25" customHeight="1" hidden="1">
      <c r="A21" s="113"/>
      <c r="B21" s="114"/>
      <c r="C21" s="114"/>
      <c r="D21" s="114"/>
      <c r="E21" s="130" t="s">
        <v>194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23"/>
      <c r="Q21" s="123"/>
      <c r="R21" s="114"/>
      <c r="S21" s="119"/>
    </row>
    <row r="22" spans="1:19" ht="17.25" customHeight="1" hidden="1">
      <c r="A22" s="113"/>
      <c r="B22" s="114"/>
      <c r="C22" s="114"/>
      <c r="D22" s="114"/>
      <c r="E22" s="130" t="s">
        <v>194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23"/>
      <c r="Q22" s="123"/>
      <c r="R22" s="114"/>
      <c r="S22" s="119"/>
    </row>
    <row r="23" spans="1:19" ht="17.25" customHeight="1" hidden="1">
      <c r="A23" s="113"/>
      <c r="B23" s="114"/>
      <c r="C23" s="114"/>
      <c r="D23" s="114"/>
      <c r="E23" s="130" t="s">
        <v>194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23"/>
      <c r="Q23" s="123"/>
      <c r="R23" s="114"/>
      <c r="S23" s="119"/>
    </row>
    <row r="24" spans="1:19" ht="17.25" customHeight="1" hidden="1">
      <c r="A24" s="113"/>
      <c r="B24" s="114"/>
      <c r="C24" s="114"/>
      <c r="D24" s="114"/>
      <c r="E24" s="130" t="s">
        <v>194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23"/>
      <c r="Q24" s="123"/>
      <c r="R24" s="114"/>
      <c r="S24" s="119"/>
    </row>
    <row r="25" spans="1:19" ht="17.2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 t="s">
        <v>206</v>
      </c>
      <c r="P25" s="114" t="s">
        <v>207</v>
      </c>
      <c r="Q25" s="114"/>
      <c r="R25" s="114"/>
      <c r="S25" s="119"/>
    </row>
    <row r="26" spans="1:19" ht="17.25" customHeight="1">
      <c r="A26" s="113"/>
      <c r="B26" s="114" t="s">
        <v>208</v>
      </c>
      <c r="C26" s="114"/>
      <c r="D26" s="114"/>
      <c r="E26" s="115" t="s">
        <v>252</v>
      </c>
      <c r="F26" s="116"/>
      <c r="G26" s="116"/>
      <c r="H26" s="116"/>
      <c r="I26" s="116"/>
      <c r="J26" s="117"/>
      <c r="K26" s="114"/>
      <c r="L26" s="114"/>
      <c r="M26" s="114"/>
      <c r="N26" s="114"/>
      <c r="O26" s="131"/>
      <c r="P26" s="132"/>
      <c r="Q26" s="133"/>
      <c r="R26" s="134"/>
      <c r="S26" s="119"/>
    </row>
    <row r="27" spans="1:19" ht="17.25" customHeight="1">
      <c r="A27" s="113"/>
      <c r="B27" s="114" t="s">
        <v>209</v>
      </c>
      <c r="C27" s="114"/>
      <c r="D27" s="114"/>
      <c r="E27" s="120" t="s">
        <v>253</v>
      </c>
      <c r="F27" s="114"/>
      <c r="G27" s="114"/>
      <c r="H27" s="114"/>
      <c r="I27" s="114"/>
      <c r="J27" s="121"/>
      <c r="K27" s="114"/>
      <c r="L27" s="114"/>
      <c r="M27" s="114"/>
      <c r="N27" s="114"/>
      <c r="O27" s="131"/>
      <c r="P27" s="132"/>
      <c r="Q27" s="133"/>
      <c r="R27" s="134"/>
      <c r="S27" s="119"/>
    </row>
    <row r="28" spans="1:19" ht="17.25" customHeight="1">
      <c r="A28" s="113"/>
      <c r="B28" s="114" t="s">
        <v>210</v>
      </c>
      <c r="C28" s="114"/>
      <c r="D28" s="114"/>
      <c r="E28" s="120" t="s">
        <v>211</v>
      </c>
      <c r="F28" s="114"/>
      <c r="G28" s="114"/>
      <c r="H28" s="114"/>
      <c r="I28" s="114"/>
      <c r="J28" s="121"/>
      <c r="K28" s="114"/>
      <c r="L28" s="114"/>
      <c r="M28" s="114"/>
      <c r="N28" s="114"/>
      <c r="O28" s="131"/>
      <c r="P28" s="132"/>
      <c r="Q28" s="133"/>
      <c r="R28" s="134"/>
      <c r="S28" s="119"/>
    </row>
    <row r="29" spans="1:19" ht="17.25" customHeight="1">
      <c r="A29" s="113"/>
      <c r="B29" s="114"/>
      <c r="C29" s="114"/>
      <c r="D29" s="114"/>
      <c r="E29" s="128"/>
      <c r="F29" s="126"/>
      <c r="G29" s="126"/>
      <c r="H29" s="126"/>
      <c r="I29" s="126"/>
      <c r="J29" s="127"/>
      <c r="K29" s="114"/>
      <c r="L29" s="114"/>
      <c r="M29" s="114"/>
      <c r="N29" s="114"/>
      <c r="O29" s="123"/>
      <c r="P29" s="123"/>
      <c r="Q29" s="123"/>
      <c r="R29" s="114"/>
      <c r="S29" s="119"/>
    </row>
    <row r="30" spans="1:19" ht="17.25" customHeight="1">
      <c r="A30" s="113"/>
      <c r="B30" s="114"/>
      <c r="C30" s="114"/>
      <c r="D30" s="114"/>
      <c r="E30" s="135" t="s">
        <v>212</v>
      </c>
      <c r="F30" s="114"/>
      <c r="G30" s="114" t="s">
        <v>213</v>
      </c>
      <c r="H30" s="114"/>
      <c r="I30" s="114"/>
      <c r="J30" s="114"/>
      <c r="K30" s="114"/>
      <c r="L30" s="114"/>
      <c r="M30" s="114"/>
      <c r="N30" s="114"/>
      <c r="O30" s="135" t="s">
        <v>214</v>
      </c>
      <c r="P30" s="123"/>
      <c r="Q30" s="123"/>
      <c r="R30" s="136"/>
      <c r="S30" s="119"/>
    </row>
    <row r="31" spans="1:19" ht="17.25" customHeight="1">
      <c r="A31" s="113"/>
      <c r="B31" s="114"/>
      <c r="C31" s="114"/>
      <c r="D31" s="114"/>
      <c r="E31" s="131">
        <v>897879798</v>
      </c>
      <c r="F31" s="114"/>
      <c r="G31" s="132" t="s">
        <v>215</v>
      </c>
      <c r="H31" s="137"/>
      <c r="I31" s="138"/>
      <c r="J31" s="114"/>
      <c r="K31" s="114"/>
      <c r="L31" s="114"/>
      <c r="M31" s="114"/>
      <c r="N31" s="114"/>
      <c r="O31" s="284" t="s">
        <v>286</v>
      </c>
      <c r="P31" s="123"/>
      <c r="Q31" s="123"/>
      <c r="R31" s="139"/>
      <c r="S31" s="119"/>
    </row>
    <row r="32" spans="1:19" ht="8.2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</row>
    <row r="33" spans="1:19" ht="20.25" customHeight="1">
      <c r="A33" s="143"/>
      <c r="B33" s="144"/>
      <c r="C33" s="144"/>
      <c r="D33" s="144"/>
      <c r="E33" s="145" t="s">
        <v>216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6"/>
    </row>
    <row r="34" spans="1:19" ht="20.25" customHeight="1">
      <c r="A34" s="147" t="s">
        <v>217</v>
      </c>
      <c r="B34" s="148"/>
      <c r="C34" s="148"/>
      <c r="D34" s="149"/>
      <c r="E34" s="150" t="s">
        <v>218</v>
      </c>
      <c r="F34" s="149"/>
      <c r="G34" s="150" t="s">
        <v>219</v>
      </c>
      <c r="H34" s="148"/>
      <c r="I34" s="149"/>
      <c r="J34" s="150" t="s">
        <v>220</v>
      </c>
      <c r="K34" s="148"/>
      <c r="L34" s="150" t="s">
        <v>221</v>
      </c>
      <c r="M34" s="148"/>
      <c r="N34" s="148"/>
      <c r="O34" s="149"/>
      <c r="P34" s="150" t="s">
        <v>222</v>
      </c>
      <c r="Q34" s="148"/>
      <c r="R34" s="148"/>
      <c r="S34" s="151"/>
    </row>
    <row r="35" spans="1:19" ht="20.25" customHeight="1">
      <c r="A35" s="152"/>
      <c r="B35" s="153"/>
      <c r="C35" s="153"/>
      <c r="D35" s="154">
        <v>0</v>
      </c>
      <c r="E35" s="155">
        <f>IF(D35=0,0,R47/D35)</f>
        <v>0</v>
      </c>
      <c r="F35" s="156"/>
      <c r="G35" s="157"/>
      <c r="H35" s="153"/>
      <c r="I35" s="154">
        <v>0</v>
      </c>
      <c r="J35" s="155">
        <f>IF(I35=0,0,R47/I35)</f>
        <v>0</v>
      </c>
      <c r="K35" s="158"/>
      <c r="L35" s="157"/>
      <c r="M35" s="153"/>
      <c r="N35" s="153"/>
      <c r="O35" s="154">
        <v>0</v>
      </c>
      <c r="P35" s="157"/>
      <c r="Q35" s="153"/>
      <c r="R35" s="159">
        <f>IF(O35=0,0,R47/O35)</f>
        <v>0</v>
      </c>
      <c r="S35" s="160"/>
    </row>
    <row r="36" spans="1:19" ht="20.25" customHeight="1">
      <c r="A36" s="143"/>
      <c r="B36" s="144"/>
      <c r="C36" s="144"/>
      <c r="D36" s="144"/>
      <c r="E36" s="145" t="s">
        <v>223</v>
      </c>
      <c r="F36" s="144"/>
      <c r="G36" s="144"/>
      <c r="H36" s="144"/>
      <c r="I36" s="144"/>
      <c r="J36" s="161" t="s">
        <v>224</v>
      </c>
      <c r="K36" s="144"/>
      <c r="L36" s="144"/>
      <c r="M36" s="144"/>
      <c r="N36" s="144"/>
      <c r="O36" s="144"/>
      <c r="P36" s="144"/>
      <c r="Q36" s="144"/>
      <c r="R36" s="144"/>
      <c r="S36" s="146"/>
    </row>
    <row r="37" spans="1:19" ht="20.25" customHeight="1">
      <c r="A37" s="162" t="s">
        <v>225</v>
      </c>
      <c r="B37" s="163"/>
      <c r="C37" s="164" t="s">
        <v>226</v>
      </c>
      <c r="D37" s="165"/>
      <c r="E37" s="165"/>
      <c r="F37" s="166"/>
      <c r="G37" s="167" t="s">
        <v>227</v>
      </c>
      <c r="H37" s="168"/>
      <c r="I37" s="164" t="s">
        <v>228</v>
      </c>
      <c r="J37" s="165"/>
      <c r="K37" s="165"/>
      <c r="L37" s="167" t="s">
        <v>229</v>
      </c>
      <c r="M37" s="168"/>
      <c r="N37" s="164" t="s">
        <v>230</v>
      </c>
      <c r="O37" s="165"/>
      <c r="P37" s="165"/>
      <c r="Q37" s="165"/>
      <c r="R37" s="165"/>
      <c r="S37" s="169"/>
    </row>
    <row r="38" spans="1:19" ht="20.25" customHeight="1">
      <c r="A38" s="170">
        <v>1</v>
      </c>
      <c r="B38" s="355"/>
      <c r="C38" s="356"/>
      <c r="D38" s="357"/>
      <c r="E38" s="171"/>
      <c r="F38" s="172"/>
      <c r="G38" s="173">
        <v>8</v>
      </c>
      <c r="H38" s="174" t="s">
        <v>231</v>
      </c>
      <c r="I38" s="134"/>
      <c r="J38" s="175">
        <v>0</v>
      </c>
      <c r="K38" s="176"/>
      <c r="L38" s="173">
        <v>13</v>
      </c>
      <c r="M38" s="132" t="s">
        <v>232</v>
      </c>
      <c r="N38" s="137"/>
      <c r="O38" s="137"/>
      <c r="P38" s="358">
        <v>0.015</v>
      </c>
      <c r="Q38" s="359"/>
      <c r="R38" s="177">
        <f>P38*E44</f>
        <v>1939.1315549999997</v>
      </c>
      <c r="S38" s="178"/>
    </row>
    <row r="39" spans="1:19" ht="20.25" customHeight="1">
      <c r="A39" s="170">
        <v>2</v>
      </c>
      <c r="B39" s="355" t="s">
        <v>285</v>
      </c>
      <c r="C39" s="356"/>
      <c r="D39" s="357"/>
      <c r="E39" s="171">
        <f>'VCP 1'!H40</f>
        <v>129275.43699999999</v>
      </c>
      <c r="F39" s="172"/>
      <c r="G39" s="173">
        <v>9</v>
      </c>
      <c r="H39" s="114" t="s">
        <v>233</v>
      </c>
      <c r="I39" s="179"/>
      <c r="J39" s="175">
        <v>0</v>
      </c>
      <c r="K39" s="176"/>
      <c r="L39" s="173">
        <v>14</v>
      </c>
      <c r="M39" s="132" t="s">
        <v>234</v>
      </c>
      <c r="N39" s="137"/>
      <c r="O39" s="137"/>
      <c r="P39" s="358">
        <v>0.01</v>
      </c>
      <c r="Q39" s="359"/>
      <c r="R39" s="177">
        <f>P39*E44</f>
        <v>1292.7543699999999</v>
      </c>
      <c r="S39" s="178"/>
    </row>
    <row r="40" spans="1:19" ht="20.25" customHeight="1">
      <c r="A40" s="170">
        <v>3</v>
      </c>
      <c r="B40" s="355"/>
      <c r="C40" s="356"/>
      <c r="D40" s="357"/>
      <c r="E40" s="171"/>
      <c r="F40" s="172"/>
      <c r="G40" s="173">
        <v>10</v>
      </c>
      <c r="H40" s="174" t="s">
        <v>235</v>
      </c>
      <c r="I40" s="134"/>
      <c r="J40" s="175">
        <v>0</v>
      </c>
      <c r="K40" s="176"/>
      <c r="L40" s="173">
        <v>15</v>
      </c>
      <c r="M40" s="132" t="s">
        <v>236</v>
      </c>
      <c r="N40" s="137"/>
      <c r="O40" s="137"/>
      <c r="P40" s="358">
        <v>0.019</v>
      </c>
      <c r="Q40" s="359"/>
      <c r="R40" s="177">
        <f>P40*E44</f>
        <v>2456.233303</v>
      </c>
      <c r="S40" s="178"/>
    </row>
    <row r="41" spans="1:19" ht="20.25" customHeight="1">
      <c r="A41" s="170">
        <v>4</v>
      </c>
      <c r="B41" s="355"/>
      <c r="C41" s="356"/>
      <c r="D41" s="357"/>
      <c r="E41" s="171"/>
      <c r="F41" s="172"/>
      <c r="G41" s="173">
        <v>11</v>
      </c>
      <c r="H41" s="174"/>
      <c r="I41" s="134"/>
      <c r="J41" s="175">
        <v>0</v>
      </c>
      <c r="K41" s="176"/>
      <c r="L41" s="173">
        <v>16</v>
      </c>
      <c r="M41" s="132" t="s">
        <v>254</v>
      </c>
      <c r="N41" s="137"/>
      <c r="O41" s="137"/>
      <c r="P41" s="358">
        <v>0.003</v>
      </c>
      <c r="Q41" s="359"/>
      <c r="R41" s="177">
        <f>P41*E44</f>
        <v>387.826311</v>
      </c>
      <c r="S41" s="178"/>
    </row>
    <row r="42" spans="1:19" ht="20.25" customHeight="1">
      <c r="A42" s="170">
        <v>5</v>
      </c>
      <c r="B42" s="355"/>
      <c r="C42" s="356"/>
      <c r="D42" s="357"/>
      <c r="E42" s="180"/>
      <c r="F42" s="172"/>
      <c r="G42" s="181"/>
      <c r="H42" s="137"/>
      <c r="I42" s="134"/>
      <c r="J42" s="175"/>
      <c r="K42" s="176"/>
      <c r="L42" s="173">
        <v>17</v>
      </c>
      <c r="M42" s="132"/>
      <c r="N42" s="137"/>
      <c r="O42" s="137"/>
      <c r="P42" s="358"/>
      <c r="Q42" s="359"/>
      <c r="R42" s="177"/>
      <c r="S42" s="178"/>
    </row>
    <row r="43" spans="1:23" ht="20.25" customHeight="1">
      <c r="A43" s="170">
        <v>6</v>
      </c>
      <c r="B43" s="355"/>
      <c r="C43" s="356"/>
      <c r="D43" s="357"/>
      <c r="E43" s="180"/>
      <c r="F43" s="172"/>
      <c r="G43" s="181"/>
      <c r="H43" s="137"/>
      <c r="I43" s="134"/>
      <c r="J43" s="175"/>
      <c r="K43" s="176"/>
      <c r="L43" s="173">
        <v>18</v>
      </c>
      <c r="M43" s="174"/>
      <c r="N43" s="137"/>
      <c r="O43" s="137"/>
      <c r="P43" s="358"/>
      <c r="Q43" s="359"/>
      <c r="R43" s="177"/>
      <c r="S43" s="178"/>
      <c r="U43" s="303"/>
      <c r="W43" s="301"/>
    </row>
    <row r="44" spans="1:19" ht="20.25" customHeight="1">
      <c r="A44" s="170">
        <v>7</v>
      </c>
      <c r="B44" s="182" t="s">
        <v>237</v>
      </c>
      <c r="C44" s="137"/>
      <c r="D44" s="134"/>
      <c r="E44" s="183">
        <f>SUM(E38:E41)</f>
        <v>129275.43699999999</v>
      </c>
      <c r="F44" s="184"/>
      <c r="G44" s="173">
        <v>12</v>
      </c>
      <c r="H44" s="182" t="s">
        <v>238</v>
      </c>
      <c r="I44" s="134"/>
      <c r="J44" s="185">
        <f>SUM(J38:J41)</f>
        <v>0</v>
      </c>
      <c r="K44" s="186"/>
      <c r="L44" s="173">
        <v>19</v>
      </c>
      <c r="M44" s="187" t="s">
        <v>239</v>
      </c>
      <c r="N44" s="116"/>
      <c r="O44" s="116"/>
      <c r="P44" s="358">
        <f>SUM(P38:Q43)</f>
        <v>0.047</v>
      </c>
      <c r="Q44" s="359"/>
      <c r="R44" s="188">
        <f>SUM(R38:R43)</f>
        <v>6075.945538999999</v>
      </c>
      <c r="S44" s="146"/>
    </row>
    <row r="45" spans="1:26" ht="20.25" customHeight="1">
      <c r="A45" s="189">
        <v>20</v>
      </c>
      <c r="B45" s="190" t="s">
        <v>240</v>
      </c>
      <c r="C45" s="191"/>
      <c r="D45" s="192"/>
      <c r="E45" s="193">
        <v>0</v>
      </c>
      <c r="F45" s="194"/>
      <c r="G45" s="195">
        <v>21</v>
      </c>
      <c r="H45" s="190" t="s">
        <v>241</v>
      </c>
      <c r="I45" s="192"/>
      <c r="J45" s="196">
        <f>E44*0.002</f>
        <v>258.55087399999996</v>
      </c>
      <c r="K45" s="197">
        <f>M49</f>
        <v>21</v>
      </c>
      <c r="L45" s="195">
        <v>22</v>
      </c>
      <c r="M45" s="190" t="s">
        <v>242</v>
      </c>
      <c r="N45" s="191"/>
      <c r="O45" s="191"/>
      <c r="P45" s="191"/>
      <c r="Q45" s="192"/>
      <c r="R45" s="198">
        <v>0</v>
      </c>
      <c r="S45" s="142"/>
      <c r="U45" s="304"/>
      <c r="V45" s="304"/>
      <c r="W45" s="305"/>
      <c r="X45" s="302"/>
      <c r="Y45" s="302"/>
      <c r="Z45" s="302"/>
    </row>
    <row r="46" spans="1:23" ht="20.25" customHeight="1" thickBot="1">
      <c r="A46" s="199" t="s">
        <v>209</v>
      </c>
      <c r="B46" s="111"/>
      <c r="C46" s="111"/>
      <c r="D46" s="111"/>
      <c r="E46" s="111"/>
      <c r="F46" s="200"/>
      <c r="G46" s="201"/>
      <c r="H46" s="111"/>
      <c r="I46" s="111"/>
      <c r="J46" s="111"/>
      <c r="K46" s="111"/>
      <c r="L46" s="202" t="s">
        <v>243</v>
      </c>
      <c r="M46" s="200"/>
      <c r="N46" s="203" t="s">
        <v>244</v>
      </c>
      <c r="O46" s="111"/>
      <c r="P46" s="111"/>
      <c r="Q46" s="111"/>
      <c r="R46" s="204"/>
      <c r="S46" s="112"/>
      <c r="U46" s="303"/>
      <c r="W46" s="286"/>
    </row>
    <row r="47" spans="1:23" ht="20.25" customHeight="1" thickBot="1">
      <c r="A47" s="113"/>
      <c r="B47" s="114"/>
      <c r="C47" s="114"/>
      <c r="D47" s="114"/>
      <c r="E47" s="114"/>
      <c r="F47" s="121"/>
      <c r="G47" s="205"/>
      <c r="H47" s="114"/>
      <c r="I47" s="114"/>
      <c r="J47" s="114"/>
      <c r="K47" s="114"/>
      <c r="L47" s="206">
        <v>23</v>
      </c>
      <c r="M47" s="207" t="s">
        <v>245</v>
      </c>
      <c r="N47" s="208"/>
      <c r="O47" s="208"/>
      <c r="P47" s="208"/>
      <c r="Q47" s="209"/>
      <c r="R47" s="210">
        <f>ROUND(E44+J44+R44+E45+J45+R45,2)</f>
        <v>135609.93</v>
      </c>
      <c r="S47" s="211"/>
      <c r="U47" s="303"/>
      <c r="W47" s="286"/>
    </row>
    <row r="48" spans="1:23" ht="20.25" customHeight="1">
      <c r="A48" s="212" t="s">
        <v>246</v>
      </c>
      <c r="B48" s="126"/>
      <c r="C48" s="126"/>
      <c r="D48" s="126"/>
      <c r="E48" s="126"/>
      <c r="F48" s="127"/>
      <c r="G48" s="213" t="s">
        <v>247</v>
      </c>
      <c r="H48" s="126"/>
      <c r="I48" s="126"/>
      <c r="J48" s="126"/>
      <c r="K48" s="126"/>
      <c r="L48" s="214">
        <v>24</v>
      </c>
      <c r="M48" s="215">
        <v>15</v>
      </c>
      <c r="N48" s="127" t="s">
        <v>248</v>
      </c>
      <c r="O48" s="216">
        <v>0</v>
      </c>
      <c r="P48" s="126" t="s">
        <v>249</v>
      </c>
      <c r="Q48" s="127"/>
      <c r="R48" s="217"/>
      <c r="S48" s="218"/>
      <c r="U48" s="303"/>
      <c r="W48" s="286"/>
    </row>
    <row r="49" spans="1:23" ht="20.25" customHeight="1" thickBot="1">
      <c r="A49" s="219" t="s">
        <v>208</v>
      </c>
      <c r="B49" s="116"/>
      <c r="C49" s="116"/>
      <c r="D49" s="116"/>
      <c r="E49" s="116"/>
      <c r="F49" s="117"/>
      <c r="G49" s="220"/>
      <c r="H49" s="116"/>
      <c r="I49" s="116"/>
      <c r="J49" s="116"/>
      <c r="K49" s="116"/>
      <c r="L49" s="221">
        <v>25</v>
      </c>
      <c r="M49" s="222">
        <v>21</v>
      </c>
      <c r="N49" s="117" t="s">
        <v>248</v>
      </c>
      <c r="O49" s="223">
        <f>R47</f>
        <v>135609.93</v>
      </c>
      <c r="P49" s="116" t="s">
        <v>249</v>
      </c>
      <c r="Q49" s="117"/>
      <c r="R49" s="224">
        <f>ROUNDUP(O49*M49/100,1)</f>
        <v>28478.1</v>
      </c>
      <c r="S49" s="225"/>
      <c r="W49" s="286"/>
    </row>
    <row r="50" spans="1:19" ht="20.25" customHeight="1" thickBot="1">
      <c r="A50" s="113"/>
      <c r="B50" s="114"/>
      <c r="C50" s="114"/>
      <c r="D50" s="114"/>
      <c r="E50" s="114"/>
      <c r="F50" s="121"/>
      <c r="G50" s="205"/>
      <c r="H50" s="114"/>
      <c r="I50" s="114"/>
      <c r="J50" s="114"/>
      <c r="K50" s="114"/>
      <c r="L50" s="226">
        <v>26</v>
      </c>
      <c r="M50" s="227" t="s">
        <v>250</v>
      </c>
      <c r="N50" s="228"/>
      <c r="O50" s="228"/>
      <c r="P50" s="228"/>
      <c r="Q50" s="229"/>
      <c r="R50" s="230">
        <f>R47+R48+R49</f>
        <v>164088.03</v>
      </c>
      <c r="S50" s="231"/>
    </row>
    <row r="51" spans="1:19" ht="20.25" customHeight="1">
      <c r="A51" s="212" t="s">
        <v>246</v>
      </c>
      <c r="B51" s="126"/>
      <c r="C51" s="126"/>
      <c r="D51" s="126"/>
      <c r="E51" s="126"/>
      <c r="F51" s="127"/>
      <c r="G51" s="213" t="s">
        <v>247</v>
      </c>
      <c r="H51" s="126"/>
      <c r="I51" s="126"/>
      <c r="J51" s="126"/>
      <c r="K51" s="126"/>
      <c r="L51" s="240"/>
      <c r="M51" s="360"/>
      <c r="N51" s="361"/>
      <c r="O51" s="361"/>
      <c r="P51" s="361"/>
      <c r="Q51" s="361"/>
      <c r="R51" s="361"/>
      <c r="S51" s="362"/>
    </row>
    <row r="52" spans="1:19" ht="20.25" customHeight="1">
      <c r="A52" s="219" t="s">
        <v>210</v>
      </c>
      <c r="B52" s="116"/>
      <c r="C52" s="116"/>
      <c r="D52" s="116"/>
      <c r="E52" s="116"/>
      <c r="F52" s="117"/>
      <c r="G52" s="220"/>
      <c r="H52" s="116"/>
      <c r="I52" s="116"/>
      <c r="J52" s="116"/>
      <c r="K52" s="116"/>
      <c r="L52" s="363"/>
      <c r="M52" s="364"/>
      <c r="N52" s="364"/>
      <c r="O52" s="364"/>
      <c r="P52" s="364"/>
      <c r="Q52" s="364"/>
      <c r="R52" s="364"/>
      <c r="S52" s="365"/>
    </row>
    <row r="53" spans="1:19" ht="20.25" customHeight="1">
      <c r="A53" s="113"/>
      <c r="B53" s="114"/>
      <c r="C53" s="114"/>
      <c r="D53" s="114"/>
      <c r="E53" s="114"/>
      <c r="F53" s="121"/>
      <c r="G53" s="205"/>
      <c r="H53" s="114"/>
      <c r="I53" s="114"/>
      <c r="J53" s="114"/>
      <c r="K53" s="114"/>
      <c r="L53" s="366"/>
      <c r="M53" s="367"/>
      <c r="N53" s="367"/>
      <c r="O53" s="367"/>
      <c r="P53" s="367"/>
      <c r="Q53" s="367"/>
      <c r="R53" s="367"/>
      <c r="S53" s="368"/>
    </row>
    <row r="54" spans="1:19" ht="20.25" customHeight="1" thickBot="1">
      <c r="A54" s="232" t="s">
        <v>246</v>
      </c>
      <c r="B54" s="233"/>
      <c r="C54" s="233"/>
      <c r="D54" s="233"/>
      <c r="E54" s="233"/>
      <c r="F54" s="234"/>
      <c r="G54" s="235" t="s">
        <v>247</v>
      </c>
      <c r="H54" s="233"/>
      <c r="I54" s="233"/>
      <c r="J54" s="233"/>
      <c r="K54" s="233"/>
      <c r="L54" s="369"/>
      <c r="M54" s="370"/>
      <c r="N54" s="370"/>
      <c r="O54" s="370"/>
      <c r="P54" s="370"/>
      <c r="Q54" s="370"/>
      <c r="R54" s="370"/>
      <c r="S54" s="371"/>
    </row>
  </sheetData>
  <sheetProtection/>
  <mergeCells count="16">
    <mergeCell ref="A1:S3"/>
    <mergeCell ref="B38:D38"/>
    <mergeCell ref="P38:Q38"/>
    <mergeCell ref="B39:D39"/>
    <mergeCell ref="P39:Q39"/>
    <mergeCell ref="B40:D40"/>
    <mergeCell ref="P40:Q40"/>
    <mergeCell ref="P44:Q44"/>
    <mergeCell ref="M51:S51"/>
    <mergeCell ref="L52:S54"/>
    <mergeCell ref="B41:D41"/>
    <mergeCell ref="P41:Q41"/>
    <mergeCell ref="B42:D42"/>
    <mergeCell ref="P42:Q42"/>
    <mergeCell ref="B43:D43"/>
    <mergeCell ref="P43:Q4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30" sqref="K30"/>
    </sheetView>
  </sheetViews>
  <sheetFormatPr defaultColWidth="10.5" defaultRowHeight="10.5"/>
  <cols>
    <col min="1" max="1" width="6.66015625" style="2" customWidth="1"/>
    <col min="2" max="2" width="7.66015625" style="3" customWidth="1"/>
    <col min="3" max="3" width="11.66015625" style="3" customWidth="1"/>
    <col min="4" max="4" width="82.5" style="3" customWidth="1"/>
    <col min="5" max="5" width="4.33203125" style="3" customWidth="1"/>
    <col min="6" max="6" width="15.33203125" style="4" customWidth="1"/>
    <col min="7" max="7" width="15.66015625" style="5" customWidth="1"/>
    <col min="8" max="8" width="19.16015625" style="5" customWidth="1"/>
    <col min="9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9"/>
      <c r="G1" s="8"/>
      <c r="H1" s="8"/>
    </row>
    <row r="2" spans="1:8" s="6" customFormat="1" ht="12.75" customHeight="1">
      <c r="A2" s="10" t="s">
        <v>1</v>
      </c>
      <c r="B2" s="11"/>
      <c r="C2" s="11"/>
      <c r="D2" s="11"/>
      <c r="E2" s="11"/>
      <c r="F2" s="9"/>
      <c r="G2" s="8"/>
      <c r="H2" s="8"/>
    </row>
    <row r="3" spans="1:8" s="6" customFormat="1" ht="12.75" customHeight="1">
      <c r="A3" s="10" t="s">
        <v>275</v>
      </c>
      <c r="B3" s="11"/>
      <c r="C3" s="11"/>
      <c r="D3" s="11"/>
      <c r="E3" s="11"/>
      <c r="F3" s="9"/>
      <c r="G3" s="8"/>
      <c r="H3" s="8"/>
    </row>
    <row r="4" spans="1:8" s="6" customFormat="1" ht="12.75" customHeight="1">
      <c r="A4" s="10"/>
      <c r="B4" s="11"/>
      <c r="C4" s="10"/>
      <c r="D4" s="11"/>
      <c r="E4" s="11"/>
      <c r="F4" s="9"/>
      <c r="G4" s="8"/>
      <c r="H4" s="8"/>
    </row>
    <row r="5" spans="1:8" s="6" customFormat="1" ht="12.75" customHeight="1">
      <c r="A5" s="11" t="s">
        <v>3</v>
      </c>
      <c r="B5" s="11"/>
      <c r="C5" s="11"/>
      <c r="D5" s="11"/>
      <c r="E5" s="11"/>
      <c r="F5" s="9"/>
      <c r="G5" s="8"/>
      <c r="H5" s="11" t="s">
        <v>276</v>
      </c>
    </row>
    <row r="6" spans="1:8" s="6" customFormat="1" ht="6" customHeight="1" thickBot="1">
      <c r="A6" s="8"/>
      <c r="B6" s="8"/>
      <c r="C6" s="8"/>
      <c r="D6" s="8"/>
      <c r="E6" s="8"/>
      <c r="F6" s="9"/>
      <c r="G6" s="8"/>
      <c r="H6" s="8"/>
    </row>
    <row r="7" spans="1:8" s="6" customFormat="1" ht="24" customHeight="1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2" t="s">
        <v>11</v>
      </c>
      <c r="H7" s="12" t="s">
        <v>12</v>
      </c>
    </row>
    <row r="8" spans="1:8" s="6" customFormat="1" ht="12.75" customHeight="1" thickBot="1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18</v>
      </c>
      <c r="G8" s="12" t="s">
        <v>19</v>
      </c>
      <c r="H8" s="12" t="s">
        <v>20</v>
      </c>
    </row>
    <row r="9" spans="1:8" s="6" customFormat="1" ht="4.5" customHeight="1">
      <c r="A9" s="8"/>
      <c r="B9" s="8"/>
      <c r="C9" s="8"/>
      <c r="D9" s="8"/>
      <c r="E9" s="8"/>
      <c r="F9" s="9"/>
      <c r="G9" s="8"/>
      <c r="H9" s="8"/>
    </row>
    <row r="10" spans="1:8" s="6" customFormat="1" ht="21" customHeight="1">
      <c r="A10" s="14"/>
      <c r="B10" s="15"/>
      <c r="C10" s="15" t="s">
        <v>21</v>
      </c>
      <c r="D10" s="15" t="s">
        <v>22</v>
      </c>
      <c r="E10" s="15"/>
      <c r="F10" s="16"/>
      <c r="G10" s="263"/>
      <c r="H10" s="263">
        <f>H11+H16+H19+H35</f>
        <v>125883.43699999999</v>
      </c>
    </row>
    <row r="11" spans="1:8" s="6" customFormat="1" ht="21" customHeight="1" thickBot="1">
      <c r="A11" s="14"/>
      <c r="B11" s="15"/>
      <c r="C11" s="15" t="s">
        <v>13</v>
      </c>
      <c r="D11" s="15" t="s">
        <v>23</v>
      </c>
      <c r="E11" s="15"/>
      <c r="F11" s="16"/>
      <c r="G11" s="263"/>
      <c r="H11" s="263">
        <f>SUM(H12:H15)</f>
        <v>25869.75</v>
      </c>
    </row>
    <row r="12" spans="1:8" s="6" customFormat="1" ht="24" customHeight="1">
      <c r="A12" s="60">
        <v>2</v>
      </c>
      <c r="B12" s="61" t="s">
        <v>24</v>
      </c>
      <c r="C12" s="61" t="s">
        <v>28</v>
      </c>
      <c r="D12" s="61" t="s">
        <v>29</v>
      </c>
      <c r="E12" s="61" t="s">
        <v>30</v>
      </c>
      <c r="F12" s="62">
        <f>109*1.5*0.9</f>
        <v>147.15</v>
      </c>
      <c r="G12" s="275">
        <v>145</v>
      </c>
      <c r="H12" s="266">
        <f>F12*G12</f>
        <v>21336.75</v>
      </c>
    </row>
    <row r="13" spans="1:8" s="6" customFormat="1" ht="13.5" customHeight="1">
      <c r="A13" s="65">
        <v>3</v>
      </c>
      <c r="B13" s="22" t="s">
        <v>24</v>
      </c>
      <c r="C13" s="22" t="s">
        <v>31</v>
      </c>
      <c r="D13" s="22" t="s">
        <v>32</v>
      </c>
      <c r="E13" s="22" t="s">
        <v>33</v>
      </c>
      <c r="F13" s="23">
        <f>106*1.5*2</f>
        <v>318</v>
      </c>
      <c r="G13" s="276">
        <v>3</v>
      </c>
      <c r="H13" s="267">
        <f>F13*G13</f>
        <v>954</v>
      </c>
    </row>
    <row r="14" spans="1:8" s="6" customFormat="1" ht="13.5" customHeight="1">
      <c r="A14" s="65">
        <v>4</v>
      </c>
      <c r="B14" s="22" t="s">
        <v>24</v>
      </c>
      <c r="C14" s="22" t="s">
        <v>34</v>
      </c>
      <c r="D14" s="22" t="s">
        <v>35</v>
      </c>
      <c r="E14" s="22" t="s">
        <v>33</v>
      </c>
      <c r="F14" s="23">
        <f>F13</f>
        <v>318</v>
      </c>
      <c r="G14" s="276">
        <v>2</v>
      </c>
      <c r="H14" s="267">
        <f>F14*G14</f>
        <v>636</v>
      </c>
    </row>
    <row r="15" spans="1:8" s="6" customFormat="1" ht="24" customHeight="1" thickBot="1">
      <c r="A15" s="67">
        <v>5</v>
      </c>
      <c r="B15" s="68" t="s">
        <v>24</v>
      </c>
      <c r="C15" s="68" t="s">
        <v>36</v>
      </c>
      <c r="D15" s="68" t="s">
        <v>37</v>
      </c>
      <c r="E15" s="68" t="s">
        <v>30</v>
      </c>
      <c r="F15" s="69">
        <f>F12</f>
        <v>147.15</v>
      </c>
      <c r="G15" s="277">
        <v>20</v>
      </c>
      <c r="H15" s="268">
        <f>F15*G15</f>
        <v>2943</v>
      </c>
    </row>
    <row r="16" spans="1:8" s="6" customFormat="1" ht="21" customHeight="1" thickBot="1">
      <c r="A16" s="14"/>
      <c r="B16" s="15"/>
      <c r="C16" s="15" t="s">
        <v>16</v>
      </c>
      <c r="D16" s="15" t="s">
        <v>42</v>
      </c>
      <c r="E16" s="15"/>
      <c r="F16" s="16"/>
      <c r="G16" s="263"/>
      <c r="H16" s="263">
        <f>SUM(H17:H18)</f>
        <v>24478.4</v>
      </c>
    </row>
    <row r="17" spans="1:8" s="6" customFormat="1" ht="13.5" customHeight="1">
      <c r="A17" s="60">
        <v>8</v>
      </c>
      <c r="B17" s="61" t="s">
        <v>43</v>
      </c>
      <c r="C17" s="61" t="s">
        <v>44</v>
      </c>
      <c r="D17" s="61" t="s">
        <v>282</v>
      </c>
      <c r="E17" s="61" t="s">
        <v>30</v>
      </c>
      <c r="F17" s="62">
        <v>28.6</v>
      </c>
      <c r="G17" s="275">
        <v>819</v>
      </c>
      <c r="H17" s="266">
        <f>F17*G17</f>
        <v>23423.4</v>
      </c>
    </row>
    <row r="18" spans="1:8" s="6" customFormat="1" ht="24" customHeight="1" thickBot="1">
      <c r="A18" s="67">
        <v>12</v>
      </c>
      <c r="B18" s="68" t="s">
        <v>43</v>
      </c>
      <c r="C18" s="68" t="s">
        <v>53</v>
      </c>
      <c r="D18" s="68" t="s">
        <v>54</v>
      </c>
      <c r="E18" s="68" t="s">
        <v>55</v>
      </c>
      <c r="F18" s="69">
        <v>5</v>
      </c>
      <c r="G18" s="277">
        <v>211</v>
      </c>
      <c r="H18" s="268">
        <f>F18*G18</f>
        <v>1055</v>
      </c>
    </row>
    <row r="19" spans="1:8" s="6" customFormat="1" ht="21" customHeight="1" thickBot="1">
      <c r="A19" s="14"/>
      <c r="B19" s="15"/>
      <c r="C19" s="15" t="s">
        <v>20</v>
      </c>
      <c r="D19" s="15" t="s">
        <v>56</v>
      </c>
      <c r="E19" s="15"/>
      <c r="F19" s="16"/>
      <c r="G19" s="263"/>
      <c r="H19" s="263">
        <f>SUM(H20:H33)</f>
        <v>68299.487</v>
      </c>
    </row>
    <row r="20" spans="1:8" s="6" customFormat="1" ht="24" customHeight="1">
      <c r="A20" s="249">
        <v>17</v>
      </c>
      <c r="B20" s="250" t="s">
        <v>43</v>
      </c>
      <c r="C20" s="250" t="s">
        <v>66</v>
      </c>
      <c r="D20" s="250" t="s">
        <v>67</v>
      </c>
      <c r="E20" s="250" t="s">
        <v>27</v>
      </c>
      <c r="F20" s="251">
        <v>45</v>
      </c>
      <c r="G20" s="278">
        <v>28</v>
      </c>
      <c r="H20" s="279">
        <f aca="true" t="shared" si="0" ref="H20:H26">F20*G20</f>
        <v>1260</v>
      </c>
    </row>
    <row r="21" spans="1:8" s="6" customFormat="1" ht="13.5" customHeight="1">
      <c r="A21" s="252">
        <v>18</v>
      </c>
      <c r="B21" s="253" t="s">
        <v>59</v>
      </c>
      <c r="C21" s="253" t="s">
        <v>68</v>
      </c>
      <c r="D21" s="253" t="s">
        <v>277</v>
      </c>
      <c r="E21" s="253" t="s">
        <v>27</v>
      </c>
      <c r="F21" s="254">
        <f>F20*1.03</f>
        <v>46.35</v>
      </c>
      <c r="G21" s="280">
        <v>198</v>
      </c>
      <c r="H21" s="281">
        <f t="shared" si="0"/>
        <v>9177.300000000001</v>
      </c>
    </row>
    <row r="22" spans="1:8" s="6" customFormat="1" ht="24" customHeight="1">
      <c r="A22" s="255">
        <v>19</v>
      </c>
      <c r="B22" s="256" t="s">
        <v>43</v>
      </c>
      <c r="C22" s="256" t="s">
        <v>71</v>
      </c>
      <c r="D22" s="256" t="s">
        <v>72</v>
      </c>
      <c r="E22" s="256" t="s">
        <v>27</v>
      </c>
      <c r="F22" s="257">
        <v>61</v>
      </c>
      <c r="G22" s="282">
        <v>29</v>
      </c>
      <c r="H22" s="281">
        <f t="shared" si="0"/>
        <v>1769</v>
      </c>
    </row>
    <row r="23" spans="1:8" s="6" customFormat="1" ht="13.5" customHeight="1">
      <c r="A23" s="252"/>
      <c r="B23" s="253"/>
      <c r="C23" s="253" t="s">
        <v>271</v>
      </c>
      <c r="D23" s="253" t="s">
        <v>272</v>
      </c>
      <c r="E23" s="253" t="s">
        <v>55</v>
      </c>
      <c r="F23" s="254">
        <f>F22*1.03</f>
        <v>62.83</v>
      </c>
      <c r="G23" s="280">
        <v>228.9</v>
      </c>
      <c r="H23" s="283">
        <f t="shared" si="0"/>
        <v>14381.787</v>
      </c>
    </row>
    <row r="24" spans="1:8" s="6" customFormat="1" ht="24" customHeight="1">
      <c r="A24" s="255">
        <v>31</v>
      </c>
      <c r="B24" s="256" t="s">
        <v>43</v>
      </c>
      <c r="C24" s="256" t="s">
        <v>98</v>
      </c>
      <c r="D24" s="256" t="s">
        <v>99</v>
      </c>
      <c r="E24" s="256" t="s">
        <v>55</v>
      </c>
      <c r="F24" s="308">
        <v>3</v>
      </c>
      <c r="G24" s="282">
        <f>2288+5988+245</f>
        <v>8521</v>
      </c>
      <c r="H24" s="283">
        <f t="shared" si="0"/>
        <v>25563</v>
      </c>
    </row>
    <row r="25" spans="1:8" s="6" customFormat="1" ht="24" customHeight="1">
      <c r="A25" s="252">
        <v>32</v>
      </c>
      <c r="B25" s="253" t="s">
        <v>100</v>
      </c>
      <c r="C25" s="253" t="s">
        <v>101</v>
      </c>
      <c r="D25" s="253" t="s">
        <v>278</v>
      </c>
      <c r="E25" s="253" t="s">
        <v>55</v>
      </c>
      <c r="F25" s="309">
        <v>2</v>
      </c>
      <c r="G25" s="280">
        <v>1158</v>
      </c>
      <c r="H25" s="281">
        <f t="shared" si="0"/>
        <v>2316</v>
      </c>
    </row>
    <row r="26" spans="1:8" s="6" customFormat="1" ht="24" customHeight="1">
      <c r="A26" s="252"/>
      <c r="B26" s="253" t="s">
        <v>100</v>
      </c>
      <c r="C26" s="253">
        <v>592241601</v>
      </c>
      <c r="D26" s="253" t="s">
        <v>279</v>
      </c>
      <c r="E26" s="253" t="s">
        <v>55</v>
      </c>
      <c r="F26" s="309">
        <v>1.01</v>
      </c>
      <c r="G26" s="280">
        <v>2890</v>
      </c>
      <c r="H26" s="281">
        <f t="shared" si="0"/>
        <v>2918.9</v>
      </c>
    </row>
    <row r="27" spans="1:8" s="6" customFormat="1" ht="24" customHeight="1">
      <c r="A27" s="252">
        <v>33</v>
      </c>
      <c r="B27" s="253" t="s">
        <v>100</v>
      </c>
      <c r="C27" s="253" t="s">
        <v>104</v>
      </c>
      <c r="D27" s="253" t="s">
        <v>105</v>
      </c>
      <c r="E27" s="253" t="s">
        <v>55</v>
      </c>
      <c r="F27" s="309">
        <v>2</v>
      </c>
      <c r="G27" s="280">
        <v>1360</v>
      </c>
      <c r="H27" s="281">
        <f aca="true" t="shared" si="1" ref="H27:H32">F27*G27</f>
        <v>2720</v>
      </c>
    </row>
    <row r="28" spans="1:8" s="6" customFormat="1" ht="24" customHeight="1">
      <c r="A28" s="255">
        <v>34</v>
      </c>
      <c r="B28" s="256" t="s">
        <v>43</v>
      </c>
      <c r="C28" s="256" t="s">
        <v>107</v>
      </c>
      <c r="D28" s="256" t="s">
        <v>108</v>
      </c>
      <c r="E28" s="256" t="s">
        <v>55</v>
      </c>
      <c r="F28" s="308">
        <v>3</v>
      </c>
      <c r="G28" s="282">
        <v>98</v>
      </c>
      <c r="H28" s="281">
        <f t="shared" si="1"/>
        <v>294</v>
      </c>
    </row>
    <row r="29" spans="1:8" s="6" customFormat="1" ht="13.5" customHeight="1">
      <c r="A29" s="252">
        <v>35</v>
      </c>
      <c r="B29" s="253" t="s">
        <v>109</v>
      </c>
      <c r="C29" s="253" t="s">
        <v>110</v>
      </c>
      <c r="D29" s="253" t="s">
        <v>111</v>
      </c>
      <c r="E29" s="253" t="s">
        <v>55</v>
      </c>
      <c r="F29" s="309">
        <v>3</v>
      </c>
      <c r="G29" s="280">
        <v>1642</v>
      </c>
      <c r="H29" s="281">
        <f t="shared" si="1"/>
        <v>4926</v>
      </c>
    </row>
    <row r="30" spans="1:8" s="6" customFormat="1" ht="24" customHeight="1">
      <c r="A30" s="255" t="s">
        <v>280</v>
      </c>
      <c r="B30" s="256"/>
      <c r="C30" s="256" t="s">
        <v>271</v>
      </c>
      <c r="D30" s="256" t="s">
        <v>281</v>
      </c>
      <c r="E30" s="256" t="s">
        <v>27</v>
      </c>
      <c r="F30" s="308">
        <v>0</v>
      </c>
      <c r="G30" s="282">
        <v>59</v>
      </c>
      <c r="H30" s="283">
        <f t="shared" si="1"/>
        <v>0</v>
      </c>
    </row>
    <row r="31" spans="1:8" s="6" customFormat="1" ht="24" customHeight="1">
      <c r="A31" s="378" t="s">
        <v>283</v>
      </c>
      <c r="B31" s="379"/>
      <c r="C31" s="379"/>
      <c r="D31" s="379"/>
      <c r="E31" s="379"/>
      <c r="F31" s="379"/>
      <c r="G31" s="379"/>
      <c r="H31" s="380"/>
    </row>
    <row r="32" spans="1:8" s="6" customFormat="1" ht="24" customHeight="1">
      <c r="A32" s="258">
        <v>38</v>
      </c>
      <c r="B32" s="259" t="s">
        <v>43</v>
      </c>
      <c r="C32" s="259" t="s">
        <v>116</v>
      </c>
      <c r="D32" s="259" t="s">
        <v>117</v>
      </c>
      <c r="E32" s="259" t="s">
        <v>30</v>
      </c>
      <c r="F32" s="260">
        <v>0.5</v>
      </c>
      <c r="G32" s="271">
        <v>2811</v>
      </c>
      <c r="H32" s="272">
        <f t="shared" si="1"/>
        <v>1405.5</v>
      </c>
    </row>
    <row r="33" spans="1:8" s="6" customFormat="1" ht="13.5" customHeight="1" thickBot="1">
      <c r="A33" s="246">
        <v>39</v>
      </c>
      <c r="B33" s="247" t="s">
        <v>43</v>
      </c>
      <c r="C33" s="247" t="s">
        <v>118</v>
      </c>
      <c r="D33" s="247" t="s">
        <v>119</v>
      </c>
      <c r="E33" s="247" t="s">
        <v>33</v>
      </c>
      <c r="F33" s="248">
        <v>5.6</v>
      </c>
      <c r="G33" s="273">
        <v>280</v>
      </c>
      <c r="H33" s="274">
        <f>F33*G33</f>
        <v>1568</v>
      </c>
    </row>
    <row r="34" spans="1:8" s="6" customFormat="1" ht="21" customHeight="1">
      <c r="A34" s="14"/>
      <c r="B34" s="15"/>
      <c r="C34" s="15" t="s">
        <v>120</v>
      </c>
      <c r="D34" s="15" t="s">
        <v>121</v>
      </c>
      <c r="E34" s="15"/>
      <c r="F34" s="16"/>
      <c r="G34" s="17"/>
      <c r="H34" s="17"/>
    </row>
    <row r="35" spans="1:8" s="6" customFormat="1" ht="13.5" customHeight="1" thickBot="1">
      <c r="A35" s="14"/>
      <c r="B35" s="15"/>
      <c r="C35" s="15" t="s">
        <v>122</v>
      </c>
      <c r="D35" s="15" t="s">
        <v>123</v>
      </c>
      <c r="E35" s="15"/>
      <c r="F35" s="16"/>
      <c r="G35" s="263"/>
      <c r="H35" s="263">
        <f>H36</f>
        <v>7235.800000000001</v>
      </c>
    </row>
    <row r="36" spans="1:8" s="6" customFormat="1" ht="24" customHeight="1" thickBot="1">
      <c r="A36" s="29">
        <v>40</v>
      </c>
      <c r="B36" s="30" t="s">
        <v>43</v>
      </c>
      <c r="C36" s="30" t="s">
        <v>124</v>
      </c>
      <c r="D36" s="30" t="s">
        <v>125</v>
      </c>
      <c r="E36" s="30" t="s">
        <v>52</v>
      </c>
      <c r="F36" s="31">
        <f>F17*2.2</f>
        <v>62.92000000000001</v>
      </c>
      <c r="G36" s="270">
        <v>115</v>
      </c>
      <c r="H36" s="264">
        <f>F36*G36</f>
        <v>7235.800000000001</v>
      </c>
    </row>
    <row r="37" spans="1:8" s="6" customFormat="1" ht="21" customHeight="1">
      <c r="A37" s="14"/>
      <c r="B37" s="15"/>
      <c r="C37" s="15" t="s">
        <v>126</v>
      </c>
      <c r="D37" s="15" t="s">
        <v>127</v>
      </c>
      <c r="E37" s="15"/>
      <c r="F37" s="16"/>
      <c r="G37" s="263"/>
      <c r="H37" s="263">
        <f>H38</f>
        <v>3392</v>
      </c>
    </row>
    <row r="38" spans="1:8" s="6" customFormat="1" ht="21" customHeight="1" thickBot="1">
      <c r="A38" s="14"/>
      <c r="B38" s="15"/>
      <c r="C38" s="15" t="s">
        <v>128</v>
      </c>
      <c r="D38" s="15" t="s">
        <v>129</v>
      </c>
      <c r="E38" s="15"/>
      <c r="F38" s="16"/>
      <c r="G38" s="263"/>
      <c r="H38" s="263">
        <f>H39</f>
        <v>3392</v>
      </c>
    </row>
    <row r="39" spans="1:8" s="6" customFormat="1" ht="13.5" customHeight="1" thickBot="1">
      <c r="A39" s="29">
        <v>41</v>
      </c>
      <c r="B39" s="30" t="s">
        <v>128</v>
      </c>
      <c r="C39" s="30" t="s">
        <v>130</v>
      </c>
      <c r="D39" s="30" t="s">
        <v>131</v>
      </c>
      <c r="E39" s="30" t="s">
        <v>27</v>
      </c>
      <c r="F39" s="31">
        <f>F20+F22</f>
        <v>106</v>
      </c>
      <c r="G39" s="270">
        <v>32</v>
      </c>
      <c r="H39" s="264">
        <f>F39*G39</f>
        <v>3392</v>
      </c>
    </row>
    <row r="40" spans="1:8" s="6" customFormat="1" ht="21" customHeight="1">
      <c r="A40" s="56"/>
      <c r="B40" s="57"/>
      <c r="C40" s="57"/>
      <c r="D40" s="57" t="s">
        <v>132</v>
      </c>
      <c r="E40" s="57"/>
      <c r="F40" s="58"/>
      <c r="G40" s="265"/>
      <c r="H40" s="265">
        <f>H10+H37</f>
        <v>129275.43699999999</v>
      </c>
    </row>
    <row r="41" ht="12" customHeight="1"/>
    <row r="42" spans="7:8" ht="12" customHeight="1">
      <c r="G42" s="5" t="s">
        <v>191</v>
      </c>
      <c r="H42" s="5">
        <f>H40/F39</f>
        <v>1219.5795943396226</v>
      </c>
    </row>
    <row r="43" ht="12" customHeight="1"/>
    <row r="44" spans="4:8" ht="12" customHeight="1">
      <c r="D44" s="372"/>
      <c r="E44" s="373"/>
      <c r="F44" s="373"/>
      <c r="G44" s="373"/>
      <c r="H44" s="373"/>
    </row>
  </sheetData>
  <sheetProtection/>
  <mergeCells count="2">
    <mergeCell ref="D44:H44"/>
    <mergeCell ref="A31:H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W29" sqref="W29"/>
    </sheetView>
  </sheetViews>
  <sheetFormatPr defaultColWidth="9.33203125" defaultRowHeight="10.5"/>
  <cols>
    <col min="1" max="1" width="2.83203125" style="384" customWidth="1"/>
    <col min="2" max="2" width="2.16015625" style="384" customWidth="1"/>
    <col min="3" max="3" width="3.16015625" style="384" customWidth="1"/>
    <col min="4" max="4" width="8" style="384" customWidth="1"/>
    <col min="5" max="5" width="15.83203125" style="384" customWidth="1"/>
    <col min="6" max="6" width="0.65625" style="384" customWidth="1"/>
    <col min="7" max="7" width="3" style="384" customWidth="1"/>
    <col min="8" max="8" width="3.16015625" style="384" customWidth="1"/>
    <col min="9" max="9" width="11.33203125" style="384" customWidth="1"/>
    <col min="10" max="10" width="15.83203125" style="384" customWidth="1"/>
    <col min="11" max="11" width="0.82421875" style="384" customWidth="1"/>
    <col min="12" max="12" width="2.83203125" style="384" customWidth="1"/>
    <col min="13" max="13" width="3.33203125" style="384" customWidth="1"/>
    <col min="14" max="14" width="2.33203125" style="384" customWidth="1"/>
    <col min="15" max="15" width="14.83203125" style="384" customWidth="1"/>
    <col min="16" max="16" width="3.33203125" style="384" customWidth="1"/>
    <col min="17" max="17" width="2.33203125" style="384" customWidth="1"/>
    <col min="18" max="18" width="19.5" style="384" customWidth="1"/>
    <col min="19" max="19" width="0.65625" style="384" customWidth="1"/>
    <col min="20" max="16384" width="9.33203125" style="384" customWidth="1"/>
  </cols>
  <sheetData>
    <row r="1" spans="1:19" ht="12" customHeigh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23.25" customHeight="1">
      <c r="A2" s="385"/>
      <c r="B2" s="386"/>
      <c r="C2" s="386"/>
      <c r="D2" s="386"/>
      <c r="E2" s="386"/>
      <c r="F2" s="386"/>
      <c r="G2" s="387" t="s">
        <v>307</v>
      </c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8"/>
    </row>
    <row r="3" spans="1:19" ht="12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1"/>
    </row>
    <row r="4" spans="1:19" ht="8.25" customHeight="1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4"/>
    </row>
    <row r="5" spans="1:19" ht="15" customHeight="1">
      <c r="A5" s="395"/>
      <c r="B5" s="396" t="s">
        <v>192</v>
      </c>
      <c r="C5" s="396"/>
      <c r="D5" s="396"/>
      <c r="E5" s="397" t="s">
        <v>308</v>
      </c>
      <c r="F5" s="398"/>
      <c r="G5" s="398"/>
      <c r="H5" s="398"/>
      <c r="I5" s="398"/>
      <c r="J5" s="399"/>
      <c r="K5" s="396"/>
      <c r="L5" s="396"/>
      <c r="M5" s="396"/>
      <c r="N5" s="396"/>
      <c r="O5" s="396" t="s">
        <v>193</v>
      </c>
      <c r="P5" s="397" t="s">
        <v>194</v>
      </c>
      <c r="Q5" s="400"/>
      <c r="R5" s="399"/>
      <c r="S5" s="401"/>
    </row>
    <row r="6" spans="1:19" ht="17.25" customHeight="1" hidden="1">
      <c r="A6" s="395"/>
      <c r="B6" s="396" t="s">
        <v>195</v>
      </c>
      <c r="C6" s="396"/>
      <c r="D6" s="396"/>
      <c r="E6" s="402" t="s">
        <v>309</v>
      </c>
      <c r="F6" s="396"/>
      <c r="G6" s="396"/>
      <c r="H6" s="396"/>
      <c r="I6" s="396"/>
      <c r="J6" s="403"/>
      <c r="K6" s="396"/>
      <c r="L6" s="396"/>
      <c r="M6" s="396"/>
      <c r="N6" s="396"/>
      <c r="O6" s="396"/>
      <c r="P6" s="404"/>
      <c r="Q6" s="405"/>
      <c r="R6" s="403"/>
      <c r="S6" s="401"/>
    </row>
    <row r="7" spans="1:19" ht="17.25" customHeight="1">
      <c r="A7" s="395"/>
      <c r="B7" s="396" t="s">
        <v>197</v>
      </c>
      <c r="C7" s="396"/>
      <c r="D7" s="396"/>
      <c r="E7" s="406" t="s">
        <v>194</v>
      </c>
      <c r="F7" s="396"/>
      <c r="G7" s="396"/>
      <c r="H7" s="396"/>
      <c r="I7" s="396"/>
      <c r="J7" s="403"/>
      <c r="K7" s="396"/>
      <c r="L7" s="396"/>
      <c r="M7" s="396"/>
      <c r="N7" s="396"/>
      <c r="O7" s="396" t="s">
        <v>198</v>
      </c>
      <c r="P7" s="402"/>
      <c r="Q7" s="405"/>
      <c r="R7" s="403"/>
      <c r="S7" s="401"/>
    </row>
    <row r="8" spans="1:19" ht="17.25" customHeight="1" hidden="1">
      <c r="A8" s="395"/>
      <c r="B8" s="396" t="s">
        <v>199</v>
      </c>
      <c r="C8" s="396"/>
      <c r="D8" s="396"/>
      <c r="E8" s="406" t="s">
        <v>194</v>
      </c>
      <c r="F8" s="396"/>
      <c r="G8" s="396"/>
      <c r="H8" s="396"/>
      <c r="I8" s="396"/>
      <c r="J8" s="403"/>
      <c r="K8" s="396"/>
      <c r="L8" s="396"/>
      <c r="M8" s="396"/>
      <c r="N8" s="396"/>
      <c r="O8" s="396"/>
      <c r="P8" s="404"/>
      <c r="Q8" s="405"/>
      <c r="R8" s="403"/>
      <c r="S8" s="401"/>
    </row>
    <row r="9" spans="1:19" ht="17.25" customHeight="1">
      <c r="A9" s="395"/>
      <c r="B9" s="396" t="s">
        <v>200</v>
      </c>
      <c r="C9" s="396"/>
      <c r="D9" s="396"/>
      <c r="E9" s="407" t="s">
        <v>194</v>
      </c>
      <c r="F9" s="408"/>
      <c r="G9" s="408"/>
      <c r="H9" s="408"/>
      <c r="I9" s="408"/>
      <c r="J9" s="409"/>
      <c r="K9" s="396"/>
      <c r="L9" s="396"/>
      <c r="M9" s="396"/>
      <c r="N9" s="396"/>
      <c r="O9" s="396" t="s">
        <v>202</v>
      </c>
      <c r="P9" s="410"/>
      <c r="Q9" s="411"/>
      <c r="R9" s="409"/>
      <c r="S9" s="401"/>
    </row>
    <row r="10" spans="1:19" ht="17.25" customHeight="1" hidden="1">
      <c r="A10" s="395"/>
      <c r="B10" s="396" t="s">
        <v>203</v>
      </c>
      <c r="C10" s="396"/>
      <c r="D10" s="396"/>
      <c r="E10" s="412" t="s">
        <v>194</v>
      </c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405"/>
      <c r="Q10" s="405"/>
      <c r="R10" s="396"/>
      <c r="S10" s="401"/>
    </row>
    <row r="11" spans="1:19" ht="17.25" customHeight="1" hidden="1">
      <c r="A11" s="395"/>
      <c r="B11" s="396" t="s">
        <v>204</v>
      </c>
      <c r="C11" s="396"/>
      <c r="D11" s="396"/>
      <c r="E11" s="412" t="s">
        <v>194</v>
      </c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405"/>
      <c r="Q11" s="405"/>
      <c r="R11" s="396"/>
      <c r="S11" s="401"/>
    </row>
    <row r="12" spans="1:19" ht="17.25" customHeight="1" hidden="1">
      <c r="A12" s="395"/>
      <c r="B12" s="396" t="s">
        <v>205</v>
      </c>
      <c r="C12" s="396"/>
      <c r="D12" s="396"/>
      <c r="E12" s="412" t="s">
        <v>194</v>
      </c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405"/>
      <c r="Q12" s="405"/>
      <c r="R12" s="396"/>
      <c r="S12" s="401"/>
    </row>
    <row r="13" spans="1:19" ht="17.25" customHeight="1" hidden="1">
      <c r="A13" s="395"/>
      <c r="B13" s="396"/>
      <c r="C13" s="396"/>
      <c r="D13" s="396"/>
      <c r="E13" s="412" t="s">
        <v>194</v>
      </c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405"/>
      <c r="Q13" s="405"/>
      <c r="R13" s="396"/>
      <c r="S13" s="401"/>
    </row>
    <row r="14" spans="1:19" ht="17.25" customHeight="1" hidden="1">
      <c r="A14" s="395"/>
      <c r="B14" s="396"/>
      <c r="C14" s="396"/>
      <c r="D14" s="396"/>
      <c r="E14" s="412" t="s">
        <v>194</v>
      </c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405"/>
      <c r="Q14" s="405"/>
      <c r="R14" s="396"/>
      <c r="S14" s="401"/>
    </row>
    <row r="15" spans="1:19" ht="17.25" customHeight="1" hidden="1">
      <c r="A15" s="395"/>
      <c r="B15" s="396"/>
      <c r="C15" s="396"/>
      <c r="D15" s="396"/>
      <c r="E15" s="412" t="s">
        <v>194</v>
      </c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405"/>
      <c r="Q15" s="405"/>
      <c r="R15" s="396"/>
      <c r="S15" s="401"/>
    </row>
    <row r="16" spans="1:19" ht="17.25" customHeight="1" hidden="1">
      <c r="A16" s="395"/>
      <c r="B16" s="396"/>
      <c r="C16" s="396"/>
      <c r="D16" s="396"/>
      <c r="E16" s="412" t="s">
        <v>194</v>
      </c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405"/>
      <c r="Q16" s="405"/>
      <c r="R16" s="396"/>
      <c r="S16" s="401"/>
    </row>
    <row r="17" spans="1:19" ht="17.25" customHeight="1" hidden="1">
      <c r="A17" s="395"/>
      <c r="B17" s="396"/>
      <c r="C17" s="396"/>
      <c r="D17" s="396"/>
      <c r="E17" s="412" t="s">
        <v>194</v>
      </c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405"/>
      <c r="Q17" s="405"/>
      <c r="R17" s="396"/>
      <c r="S17" s="401"/>
    </row>
    <row r="18" spans="1:19" ht="17.25" customHeight="1" hidden="1">
      <c r="A18" s="395"/>
      <c r="B18" s="396"/>
      <c r="C18" s="396"/>
      <c r="D18" s="396"/>
      <c r="E18" s="412" t="s">
        <v>194</v>
      </c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405"/>
      <c r="Q18" s="405"/>
      <c r="R18" s="396"/>
      <c r="S18" s="401"/>
    </row>
    <row r="19" spans="1:19" ht="17.25" customHeight="1" hidden="1">
      <c r="A19" s="395"/>
      <c r="B19" s="396"/>
      <c r="C19" s="396"/>
      <c r="D19" s="396"/>
      <c r="E19" s="412" t="s">
        <v>194</v>
      </c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405"/>
      <c r="Q19" s="405"/>
      <c r="R19" s="396"/>
      <c r="S19" s="401"/>
    </row>
    <row r="20" spans="1:19" ht="17.25" customHeight="1" hidden="1">
      <c r="A20" s="395"/>
      <c r="B20" s="396"/>
      <c r="C20" s="396"/>
      <c r="D20" s="396"/>
      <c r="E20" s="412" t="s">
        <v>194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405"/>
      <c r="Q20" s="405"/>
      <c r="R20" s="396"/>
      <c r="S20" s="401"/>
    </row>
    <row r="21" spans="1:19" ht="17.25" customHeight="1" hidden="1">
      <c r="A21" s="395"/>
      <c r="B21" s="396"/>
      <c r="C21" s="396"/>
      <c r="D21" s="396"/>
      <c r="E21" s="412" t="s">
        <v>194</v>
      </c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405"/>
      <c r="Q21" s="405"/>
      <c r="R21" s="396"/>
      <c r="S21" s="401"/>
    </row>
    <row r="22" spans="1:19" ht="17.25" customHeight="1" hidden="1">
      <c r="A22" s="395"/>
      <c r="B22" s="396"/>
      <c r="C22" s="396"/>
      <c r="D22" s="396"/>
      <c r="E22" s="412" t="s">
        <v>194</v>
      </c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405"/>
      <c r="Q22" s="405"/>
      <c r="R22" s="396"/>
      <c r="S22" s="401"/>
    </row>
    <row r="23" spans="1:19" ht="17.25" customHeight="1" hidden="1">
      <c r="A23" s="395"/>
      <c r="B23" s="396"/>
      <c r="C23" s="396"/>
      <c r="D23" s="396"/>
      <c r="E23" s="412" t="s">
        <v>194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405"/>
      <c r="Q23" s="405"/>
      <c r="R23" s="396"/>
      <c r="S23" s="401"/>
    </row>
    <row r="24" spans="1:19" ht="17.25" customHeight="1" hidden="1">
      <c r="A24" s="395"/>
      <c r="B24" s="396"/>
      <c r="C24" s="396"/>
      <c r="D24" s="396"/>
      <c r="E24" s="412" t="s">
        <v>194</v>
      </c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405"/>
      <c r="Q24" s="405"/>
      <c r="R24" s="396"/>
      <c r="S24" s="401"/>
    </row>
    <row r="25" spans="1:19" ht="17.25" customHeight="1">
      <c r="A25" s="395"/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 t="s">
        <v>206</v>
      </c>
      <c r="P25" s="396" t="s">
        <v>207</v>
      </c>
      <c r="Q25" s="396"/>
      <c r="R25" s="396"/>
      <c r="S25" s="401"/>
    </row>
    <row r="26" spans="1:19" ht="17.25" customHeight="1">
      <c r="A26" s="395"/>
      <c r="B26" s="396" t="s">
        <v>208</v>
      </c>
      <c r="C26" s="396"/>
      <c r="D26" s="396"/>
      <c r="E26" s="397" t="s">
        <v>252</v>
      </c>
      <c r="F26" s="398"/>
      <c r="G26" s="398"/>
      <c r="H26" s="398"/>
      <c r="I26" s="398"/>
      <c r="J26" s="399"/>
      <c r="K26" s="396"/>
      <c r="L26" s="396"/>
      <c r="M26" s="396"/>
      <c r="N26" s="396"/>
      <c r="O26" s="413"/>
      <c r="P26" s="414"/>
      <c r="Q26" s="415"/>
      <c r="R26" s="416"/>
      <c r="S26" s="401"/>
    </row>
    <row r="27" spans="1:19" ht="17.25" customHeight="1">
      <c r="A27" s="395"/>
      <c r="B27" s="396" t="s">
        <v>209</v>
      </c>
      <c r="C27" s="396"/>
      <c r="D27" s="396"/>
      <c r="E27" s="402"/>
      <c r="F27" s="396"/>
      <c r="G27" s="396"/>
      <c r="H27" s="396"/>
      <c r="I27" s="396"/>
      <c r="J27" s="403"/>
      <c r="K27" s="396"/>
      <c r="L27" s="396"/>
      <c r="M27" s="396"/>
      <c r="N27" s="396"/>
      <c r="O27" s="413"/>
      <c r="P27" s="414"/>
      <c r="Q27" s="415"/>
      <c r="R27" s="416"/>
      <c r="S27" s="401"/>
    </row>
    <row r="28" spans="1:19" ht="17.25" customHeight="1">
      <c r="A28" s="395"/>
      <c r="B28" s="396" t="s">
        <v>210</v>
      </c>
      <c r="C28" s="396"/>
      <c r="D28" s="396"/>
      <c r="E28" s="402" t="s">
        <v>211</v>
      </c>
      <c r="F28" s="396"/>
      <c r="G28" s="396"/>
      <c r="H28" s="396"/>
      <c r="I28" s="396"/>
      <c r="J28" s="403"/>
      <c r="K28" s="396"/>
      <c r="L28" s="396"/>
      <c r="M28" s="396"/>
      <c r="N28" s="396"/>
      <c r="O28" s="413"/>
      <c r="P28" s="414"/>
      <c r="Q28" s="415"/>
      <c r="R28" s="416"/>
      <c r="S28" s="401"/>
    </row>
    <row r="29" spans="1:19" ht="17.25" customHeight="1">
      <c r="A29" s="395"/>
      <c r="B29" s="396"/>
      <c r="C29" s="396"/>
      <c r="D29" s="396"/>
      <c r="E29" s="410"/>
      <c r="F29" s="408"/>
      <c r="G29" s="408"/>
      <c r="H29" s="408"/>
      <c r="I29" s="408"/>
      <c r="J29" s="409"/>
      <c r="K29" s="396"/>
      <c r="L29" s="396"/>
      <c r="M29" s="396"/>
      <c r="N29" s="396"/>
      <c r="O29" s="405"/>
      <c r="P29" s="405"/>
      <c r="Q29" s="405"/>
      <c r="R29" s="396"/>
      <c r="S29" s="401"/>
    </row>
    <row r="30" spans="1:19" ht="17.25" customHeight="1">
      <c r="A30" s="395"/>
      <c r="B30" s="396"/>
      <c r="C30" s="396"/>
      <c r="D30" s="396"/>
      <c r="E30" s="396" t="s">
        <v>212</v>
      </c>
      <c r="F30" s="396"/>
      <c r="G30" s="396" t="s">
        <v>213</v>
      </c>
      <c r="H30" s="396"/>
      <c r="I30" s="396"/>
      <c r="J30" s="396"/>
      <c r="K30" s="396"/>
      <c r="L30" s="396"/>
      <c r="M30" s="396"/>
      <c r="N30" s="396"/>
      <c r="O30" s="396" t="s">
        <v>214</v>
      </c>
      <c r="P30" s="405"/>
      <c r="Q30" s="405"/>
      <c r="R30" s="417"/>
      <c r="S30" s="401"/>
    </row>
    <row r="31" spans="1:19" ht="17.25" customHeight="1">
      <c r="A31" s="395"/>
      <c r="B31" s="396"/>
      <c r="C31" s="396"/>
      <c r="D31" s="396"/>
      <c r="E31" s="413" t="s">
        <v>310</v>
      </c>
      <c r="F31" s="396"/>
      <c r="G31" s="414" t="s">
        <v>215</v>
      </c>
      <c r="H31" s="418"/>
      <c r="I31" s="419"/>
      <c r="J31" s="396"/>
      <c r="K31" s="396"/>
      <c r="L31" s="396"/>
      <c r="M31" s="396"/>
      <c r="N31" s="396"/>
      <c r="O31" s="420" t="s">
        <v>311</v>
      </c>
      <c r="P31" s="405"/>
      <c r="Q31" s="405"/>
      <c r="R31" s="417"/>
      <c r="S31" s="401"/>
    </row>
    <row r="32" spans="1:19" ht="8.25" customHeight="1">
      <c r="A32" s="421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3"/>
    </row>
    <row r="33" spans="1:19" ht="20.25" customHeight="1">
      <c r="A33" s="424"/>
      <c r="B33" s="425"/>
      <c r="C33" s="425"/>
      <c r="D33" s="425"/>
      <c r="E33" s="426" t="s">
        <v>216</v>
      </c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7"/>
    </row>
    <row r="34" spans="1:19" ht="20.25" customHeight="1">
      <c r="A34" s="428" t="s">
        <v>217</v>
      </c>
      <c r="B34" s="429"/>
      <c r="C34" s="429"/>
      <c r="D34" s="430"/>
      <c r="E34" s="431" t="s">
        <v>218</v>
      </c>
      <c r="F34" s="430"/>
      <c r="G34" s="431" t="s">
        <v>219</v>
      </c>
      <c r="H34" s="429"/>
      <c r="I34" s="430"/>
      <c r="J34" s="431" t="s">
        <v>220</v>
      </c>
      <c r="K34" s="429"/>
      <c r="L34" s="431" t="s">
        <v>221</v>
      </c>
      <c r="M34" s="429"/>
      <c r="N34" s="429"/>
      <c r="O34" s="430"/>
      <c r="P34" s="431" t="s">
        <v>222</v>
      </c>
      <c r="Q34" s="429"/>
      <c r="R34" s="429"/>
      <c r="S34" s="432"/>
    </row>
    <row r="35" spans="1:19" ht="20.25" customHeight="1">
      <c r="A35" s="433"/>
      <c r="B35" s="434"/>
      <c r="C35" s="434"/>
      <c r="D35" s="435">
        <v>0</v>
      </c>
      <c r="E35" s="436">
        <f>IF(D35=0,0,R47/D35)</f>
        <v>0</v>
      </c>
      <c r="F35" s="435"/>
      <c r="G35" s="437"/>
      <c r="H35" s="434"/>
      <c r="I35" s="435">
        <v>0</v>
      </c>
      <c r="J35" s="436">
        <f>IF(I35=0,0,R47/I35)</f>
        <v>0</v>
      </c>
      <c r="K35" s="434"/>
      <c r="L35" s="437"/>
      <c r="M35" s="434"/>
      <c r="N35" s="434"/>
      <c r="O35" s="435">
        <v>0</v>
      </c>
      <c r="P35" s="437"/>
      <c r="Q35" s="434"/>
      <c r="R35" s="438">
        <f>IF(O35=0,0,R47/O35)</f>
        <v>0</v>
      </c>
      <c r="S35" s="439"/>
    </row>
    <row r="36" spans="1:19" ht="20.25" customHeight="1">
      <c r="A36" s="424"/>
      <c r="B36" s="425"/>
      <c r="C36" s="425"/>
      <c r="D36" s="425"/>
      <c r="E36" s="426" t="s">
        <v>223</v>
      </c>
      <c r="F36" s="425"/>
      <c r="G36" s="425"/>
      <c r="H36" s="425"/>
      <c r="I36" s="425"/>
      <c r="J36" s="440" t="s">
        <v>224</v>
      </c>
      <c r="K36" s="425"/>
      <c r="L36" s="425"/>
      <c r="M36" s="425"/>
      <c r="N36" s="425"/>
      <c r="O36" s="425"/>
      <c r="P36" s="425"/>
      <c r="Q36" s="425"/>
      <c r="R36" s="425"/>
      <c r="S36" s="427"/>
    </row>
    <row r="37" spans="1:19" ht="20.25" customHeight="1">
      <c r="A37" s="441" t="s">
        <v>225</v>
      </c>
      <c r="B37" s="442"/>
      <c r="C37" s="443" t="s">
        <v>226</v>
      </c>
      <c r="D37" s="444"/>
      <c r="E37" s="444"/>
      <c r="F37" s="445"/>
      <c r="G37" s="446" t="s">
        <v>227</v>
      </c>
      <c r="H37" s="447"/>
      <c r="I37" s="443" t="s">
        <v>228</v>
      </c>
      <c r="J37" s="444"/>
      <c r="K37" s="444"/>
      <c r="L37" s="446" t="s">
        <v>229</v>
      </c>
      <c r="M37" s="447"/>
      <c r="N37" s="443" t="s">
        <v>230</v>
      </c>
      <c r="O37" s="444"/>
      <c r="P37" s="444"/>
      <c r="Q37" s="444"/>
      <c r="R37" s="444"/>
      <c r="S37" s="448"/>
    </row>
    <row r="38" spans="1:19" ht="20.25" customHeight="1">
      <c r="A38" s="449">
        <v>1</v>
      </c>
      <c r="B38" s="450" t="s">
        <v>312</v>
      </c>
      <c r="C38" s="356"/>
      <c r="D38" s="357"/>
      <c r="E38" s="451">
        <f>'[1]objekt č.2'!I28</f>
        <v>10125.400000000001</v>
      </c>
      <c r="F38" s="452"/>
      <c r="G38" s="453">
        <v>8</v>
      </c>
      <c r="H38" s="414" t="s">
        <v>231</v>
      </c>
      <c r="I38" s="416"/>
      <c r="J38" s="454">
        <v>0</v>
      </c>
      <c r="K38" s="455"/>
      <c r="L38" s="453">
        <v>13</v>
      </c>
      <c r="M38" s="414"/>
      <c r="N38" s="418"/>
      <c r="O38" s="418"/>
      <c r="P38" s="456"/>
      <c r="Q38" s="359"/>
      <c r="R38" s="457"/>
      <c r="S38" s="458"/>
    </row>
    <row r="39" spans="1:19" ht="20.25" customHeight="1">
      <c r="A39" s="449">
        <v>2</v>
      </c>
      <c r="B39" s="459" t="s">
        <v>313</v>
      </c>
      <c r="C39" s="460"/>
      <c r="D39" s="461"/>
      <c r="E39" s="451">
        <f>'[1]objekt č.7'!I22</f>
        <v>12028.199999999999</v>
      </c>
      <c r="F39" s="452"/>
      <c r="G39" s="453">
        <v>9</v>
      </c>
      <c r="H39" s="396" t="s">
        <v>233</v>
      </c>
      <c r="I39" s="413"/>
      <c r="J39" s="454">
        <v>0</v>
      </c>
      <c r="K39" s="455"/>
      <c r="L39" s="453">
        <v>14</v>
      </c>
      <c r="M39" s="414"/>
      <c r="N39" s="418"/>
      <c r="O39" s="418"/>
      <c r="P39" s="462">
        <f>M49</f>
        <v>21</v>
      </c>
      <c r="Q39" s="463" t="s">
        <v>248</v>
      </c>
      <c r="R39" s="457">
        <v>0</v>
      </c>
      <c r="S39" s="458"/>
    </row>
    <row r="40" spans="1:19" ht="20.25" customHeight="1">
      <c r="A40" s="449">
        <v>3</v>
      </c>
      <c r="B40" s="450"/>
      <c r="C40" s="356"/>
      <c r="D40" s="357"/>
      <c r="E40" s="451"/>
      <c r="F40" s="452"/>
      <c r="G40" s="453">
        <v>10</v>
      </c>
      <c r="H40" s="414" t="s">
        <v>235</v>
      </c>
      <c r="I40" s="416"/>
      <c r="J40" s="454">
        <v>0</v>
      </c>
      <c r="K40" s="455"/>
      <c r="L40" s="453">
        <v>15</v>
      </c>
      <c r="M40" s="414"/>
      <c r="N40" s="418"/>
      <c r="O40" s="418"/>
      <c r="P40" s="462">
        <f>M49</f>
        <v>21</v>
      </c>
      <c r="Q40" s="463" t="s">
        <v>248</v>
      </c>
      <c r="R40" s="457">
        <v>0</v>
      </c>
      <c r="S40" s="458"/>
    </row>
    <row r="41" spans="1:19" ht="20.25" customHeight="1">
      <c r="A41" s="449">
        <v>4</v>
      </c>
      <c r="B41" s="450"/>
      <c r="C41" s="356"/>
      <c r="D41" s="357"/>
      <c r="E41" s="451"/>
      <c r="F41" s="452"/>
      <c r="G41" s="453">
        <v>11</v>
      </c>
      <c r="H41" s="414"/>
      <c r="I41" s="416"/>
      <c r="J41" s="454">
        <v>0</v>
      </c>
      <c r="K41" s="455"/>
      <c r="L41" s="453">
        <v>16</v>
      </c>
      <c r="M41" s="414"/>
      <c r="N41" s="418"/>
      <c r="O41" s="418"/>
      <c r="P41" s="462">
        <f>M49</f>
        <v>21</v>
      </c>
      <c r="Q41" s="463" t="s">
        <v>248</v>
      </c>
      <c r="R41" s="457">
        <v>0</v>
      </c>
      <c r="S41" s="458"/>
    </row>
    <row r="42" spans="1:19" ht="20.25" customHeight="1">
      <c r="A42" s="449">
        <v>5</v>
      </c>
      <c r="B42" s="459"/>
      <c r="C42" s="460"/>
      <c r="D42" s="461"/>
      <c r="E42" s="451"/>
      <c r="F42" s="452"/>
      <c r="G42" s="464"/>
      <c r="H42" s="418"/>
      <c r="I42" s="416"/>
      <c r="J42" s="465"/>
      <c r="K42" s="455"/>
      <c r="L42" s="453">
        <v>17</v>
      </c>
      <c r="M42" s="414"/>
      <c r="N42" s="418"/>
      <c r="O42" s="418"/>
      <c r="P42" s="462">
        <f>M49</f>
        <v>21</v>
      </c>
      <c r="Q42" s="463" t="s">
        <v>248</v>
      </c>
      <c r="R42" s="457">
        <v>0</v>
      </c>
      <c r="S42" s="458"/>
    </row>
    <row r="43" spans="1:19" ht="20.25" customHeight="1">
      <c r="A43" s="449">
        <v>6</v>
      </c>
      <c r="F43" s="452"/>
      <c r="G43" s="464"/>
      <c r="H43" s="418"/>
      <c r="I43" s="416"/>
      <c r="J43" s="465"/>
      <c r="K43" s="455"/>
      <c r="L43" s="453">
        <v>18</v>
      </c>
      <c r="M43" s="414"/>
      <c r="N43" s="418"/>
      <c r="O43" s="418"/>
      <c r="P43" s="418"/>
      <c r="Q43" s="416"/>
      <c r="R43" s="457">
        <f>SUMIF('[1]objekt č.2'!N14:N65536,1024,'[1]objekt č.2'!I14:I65536)</f>
        <v>0</v>
      </c>
      <c r="S43" s="458"/>
    </row>
    <row r="44" spans="1:19" ht="20.25" customHeight="1" thickBot="1">
      <c r="A44" s="466">
        <v>7</v>
      </c>
      <c r="B44" s="467"/>
      <c r="C44" s="467"/>
      <c r="D44" s="467"/>
      <c r="E44" s="467"/>
      <c r="F44" s="468"/>
      <c r="G44" s="453">
        <v>12</v>
      </c>
      <c r="H44" s="469" t="s">
        <v>238</v>
      </c>
      <c r="I44" s="416"/>
      <c r="J44" s="470">
        <f>SUM(J38:J41)</f>
        <v>0</v>
      </c>
      <c r="K44" s="471"/>
      <c r="L44" s="453">
        <v>19</v>
      </c>
      <c r="M44" s="472" t="s">
        <v>239</v>
      </c>
      <c r="N44" s="398"/>
      <c r="O44" s="398"/>
      <c r="P44" s="398"/>
      <c r="Q44" s="473"/>
      <c r="R44" s="474">
        <f>SUM(R38:R43)</f>
        <v>0</v>
      </c>
      <c r="S44" s="427"/>
    </row>
    <row r="45" spans="1:19" ht="20.25" customHeight="1" thickTop="1">
      <c r="A45" s="475">
        <v>20</v>
      </c>
      <c r="B45" s="476" t="s">
        <v>237</v>
      </c>
      <c r="C45" s="477"/>
      <c r="D45" s="478"/>
      <c r="E45" s="479">
        <f>SUM(E38:E42)</f>
        <v>22153.6</v>
      </c>
      <c r="F45" s="480"/>
      <c r="G45" s="481">
        <v>21</v>
      </c>
      <c r="H45" s="482" t="s">
        <v>241</v>
      </c>
      <c r="I45" s="483"/>
      <c r="J45" s="484">
        <v>0</v>
      </c>
      <c r="K45" s="485">
        <f>M49</f>
        <v>21</v>
      </c>
      <c r="L45" s="481">
        <v>22</v>
      </c>
      <c r="M45" s="482" t="s">
        <v>242</v>
      </c>
      <c r="N45" s="486"/>
      <c r="O45" s="486"/>
      <c r="P45" s="486"/>
      <c r="Q45" s="483"/>
      <c r="R45" s="487">
        <f>SUMIF('[1]objekt č.2'!N14:N65536,"&lt;4",'[1]objekt č.2'!I14:I65536)+SUMIF('[1]objekt č.2'!N14:N65536,"&gt;1024",'[1]objekt č.2'!I14:I65536)</f>
        <v>0</v>
      </c>
      <c r="S45" s="423"/>
    </row>
    <row r="46" spans="1:19" ht="20.25" customHeight="1" thickBot="1">
      <c r="A46" s="488" t="s">
        <v>209</v>
      </c>
      <c r="B46" s="393"/>
      <c r="C46" s="393"/>
      <c r="D46" s="393"/>
      <c r="E46" s="393"/>
      <c r="F46" s="489"/>
      <c r="G46" s="490"/>
      <c r="H46" s="393"/>
      <c r="I46" s="393"/>
      <c r="J46" s="393"/>
      <c r="K46" s="393"/>
      <c r="L46" s="491" t="s">
        <v>243</v>
      </c>
      <c r="M46" s="489"/>
      <c r="N46" s="492" t="s">
        <v>244</v>
      </c>
      <c r="O46" s="393"/>
      <c r="P46" s="393"/>
      <c r="Q46" s="393"/>
      <c r="R46" s="493"/>
      <c r="S46" s="394"/>
    </row>
    <row r="47" spans="1:19" ht="20.25" customHeight="1" thickBot="1">
      <c r="A47" s="395"/>
      <c r="B47" s="396"/>
      <c r="C47" s="396"/>
      <c r="D47" s="396"/>
      <c r="E47" s="396"/>
      <c r="F47" s="403"/>
      <c r="G47" s="402"/>
      <c r="H47" s="396"/>
      <c r="I47" s="396"/>
      <c r="J47" s="396"/>
      <c r="K47" s="396"/>
      <c r="L47" s="494">
        <v>23</v>
      </c>
      <c r="M47" s="495" t="s">
        <v>245</v>
      </c>
      <c r="N47" s="496"/>
      <c r="O47" s="496"/>
      <c r="P47" s="496"/>
      <c r="Q47" s="497"/>
      <c r="R47" s="498">
        <f>E45+R38</f>
        <v>22153.6</v>
      </c>
      <c r="S47" s="499"/>
    </row>
    <row r="48" spans="1:19" ht="20.25" customHeight="1">
      <c r="A48" s="500" t="s">
        <v>246</v>
      </c>
      <c r="B48" s="408"/>
      <c r="C48" s="408"/>
      <c r="D48" s="408"/>
      <c r="E48" s="408"/>
      <c r="F48" s="409"/>
      <c r="G48" s="501" t="s">
        <v>247</v>
      </c>
      <c r="H48" s="408"/>
      <c r="I48" s="408"/>
      <c r="J48" s="408"/>
      <c r="K48" s="408"/>
      <c r="L48" s="502">
        <v>24</v>
      </c>
      <c r="M48" s="503">
        <v>14</v>
      </c>
      <c r="N48" s="409" t="s">
        <v>248</v>
      </c>
      <c r="O48" s="504">
        <v>0</v>
      </c>
      <c r="P48" s="408" t="s">
        <v>249</v>
      </c>
      <c r="Q48" s="409"/>
      <c r="R48" s="505">
        <f>ROUNDUP(O48*M48/100,1)</f>
        <v>0</v>
      </c>
      <c r="S48" s="506"/>
    </row>
    <row r="49" spans="1:19" ht="20.25" customHeight="1" thickBot="1">
      <c r="A49" s="507" t="s">
        <v>208</v>
      </c>
      <c r="B49" s="398"/>
      <c r="C49" s="398"/>
      <c r="D49" s="398"/>
      <c r="E49" s="398"/>
      <c r="F49" s="399"/>
      <c r="G49" s="397"/>
      <c r="H49" s="398"/>
      <c r="I49" s="398"/>
      <c r="J49" s="398"/>
      <c r="K49" s="398"/>
      <c r="L49" s="453">
        <v>25</v>
      </c>
      <c r="M49" s="508">
        <v>21</v>
      </c>
      <c r="N49" s="416" t="s">
        <v>248</v>
      </c>
      <c r="O49" s="509">
        <f>R47</f>
        <v>22153.6</v>
      </c>
      <c r="P49" s="418" t="s">
        <v>249</v>
      </c>
      <c r="Q49" s="416"/>
      <c r="R49" s="457">
        <f>O49*0.21</f>
        <v>4652.255999999999</v>
      </c>
      <c r="S49" s="458"/>
    </row>
    <row r="50" spans="1:19" ht="20.25" customHeight="1" thickBot="1">
      <c r="A50" s="395"/>
      <c r="B50" s="396"/>
      <c r="C50" s="396"/>
      <c r="D50" s="396"/>
      <c r="E50" s="396"/>
      <c r="F50" s="403"/>
      <c r="G50" s="402"/>
      <c r="H50" s="396"/>
      <c r="I50" s="396"/>
      <c r="J50" s="396"/>
      <c r="K50" s="396"/>
      <c r="L50" s="481">
        <v>26</v>
      </c>
      <c r="M50" s="510" t="s">
        <v>250</v>
      </c>
      <c r="N50" s="486"/>
      <c r="O50" s="486"/>
      <c r="P50" s="486"/>
      <c r="Q50" s="511"/>
      <c r="R50" s="512">
        <f>R47+R48+R49</f>
        <v>26805.856</v>
      </c>
      <c r="S50" s="513"/>
    </row>
    <row r="51" spans="1:19" ht="20.25" customHeight="1">
      <c r="A51" s="500" t="s">
        <v>246</v>
      </c>
      <c r="B51" s="408"/>
      <c r="C51" s="408"/>
      <c r="D51" s="408"/>
      <c r="E51" s="408"/>
      <c r="F51" s="409"/>
      <c r="G51" s="501" t="s">
        <v>247</v>
      </c>
      <c r="H51" s="408"/>
      <c r="I51" s="408"/>
      <c r="J51" s="408"/>
      <c r="K51" s="408"/>
      <c r="L51" s="446" t="s">
        <v>314</v>
      </c>
      <c r="M51" s="430"/>
      <c r="N51" s="443" t="s">
        <v>315</v>
      </c>
      <c r="O51" s="429"/>
      <c r="P51" s="429"/>
      <c r="Q51" s="429"/>
      <c r="R51" s="514"/>
      <c r="S51" s="432"/>
    </row>
    <row r="52" spans="1:19" ht="20.25" customHeight="1">
      <c r="A52" s="507" t="s">
        <v>210</v>
      </c>
      <c r="B52" s="398"/>
      <c r="C52" s="398"/>
      <c r="D52" s="398"/>
      <c r="E52" s="398"/>
      <c r="F52" s="399"/>
      <c r="G52" s="397"/>
      <c r="H52" s="398"/>
      <c r="I52" s="398"/>
      <c r="J52" s="398"/>
      <c r="K52" s="398"/>
      <c r="L52" s="453">
        <v>27</v>
      </c>
      <c r="M52" s="414" t="s">
        <v>316</v>
      </c>
      <c r="N52" s="418"/>
      <c r="O52" s="418"/>
      <c r="P52" s="418"/>
      <c r="Q52" s="416"/>
      <c r="R52" s="457">
        <v>0</v>
      </c>
      <c r="S52" s="458"/>
    </row>
    <row r="53" spans="1:19" ht="20.25" customHeight="1">
      <c r="A53" s="395"/>
      <c r="B53" s="396"/>
      <c r="C53" s="396"/>
      <c r="D53" s="396"/>
      <c r="E53" s="396"/>
      <c r="F53" s="403"/>
      <c r="G53" s="402"/>
      <c r="H53" s="396"/>
      <c r="I53" s="396"/>
      <c r="J53" s="396"/>
      <c r="K53" s="396"/>
      <c r="L53" s="453">
        <v>28</v>
      </c>
      <c r="M53" s="414" t="s">
        <v>317</v>
      </c>
      <c r="N53" s="418"/>
      <c r="O53" s="418"/>
      <c r="P53" s="418"/>
      <c r="Q53" s="416"/>
      <c r="R53" s="457">
        <v>0</v>
      </c>
      <c r="S53" s="458"/>
    </row>
    <row r="54" spans="1:19" ht="20.25" customHeight="1" thickBot="1">
      <c r="A54" s="515" t="s">
        <v>246</v>
      </c>
      <c r="B54" s="516"/>
      <c r="C54" s="516"/>
      <c r="D54" s="516"/>
      <c r="E54" s="516"/>
      <c r="F54" s="517"/>
      <c r="G54" s="518" t="s">
        <v>247</v>
      </c>
      <c r="H54" s="516"/>
      <c r="I54" s="516"/>
      <c r="J54" s="516"/>
      <c r="K54" s="516"/>
      <c r="L54" s="519">
        <v>29</v>
      </c>
      <c r="M54" s="520" t="s">
        <v>318</v>
      </c>
      <c r="N54" s="521"/>
      <c r="O54" s="521"/>
      <c r="P54" s="521"/>
      <c r="Q54" s="522"/>
      <c r="R54" s="523">
        <v>0</v>
      </c>
      <c r="S54" s="524"/>
    </row>
  </sheetData>
  <sheetProtection/>
  <mergeCells count="7">
    <mergeCell ref="B45:D45"/>
    <mergeCell ref="B38:D38"/>
    <mergeCell ref="P38:Q38"/>
    <mergeCell ref="B39:D39"/>
    <mergeCell ref="B40:D40"/>
    <mergeCell ref="B41:D41"/>
    <mergeCell ref="B42:D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Štourač</dc:creator>
  <cp:keywords/>
  <dc:description/>
  <cp:lastModifiedBy>Marek Čermák</cp:lastModifiedBy>
  <cp:lastPrinted>2013-02-15T07:11:01Z</cp:lastPrinted>
  <dcterms:created xsi:type="dcterms:W3CDTF">2012-09-14T13:11:21Z</dcterms:created>
  <dcterms:modified xsi:type="dcterms:W3CDTF">2013-02-15T07:12:50Z</dcterms:modified>
  <cp:category/>
  <cp:version/>
  <cp:contentType/>
  <cp:contentStatus/>
</cp:coreProperties>
</file>